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Default Extension="vml" ContentType="application/vnd.openxmlformats-officedocument.vmlDrawing"/>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worksheets/sheet8.xml" ContentType="application/vnd.openxmlformats-officedocument.spreadsheetml.worksheet+xml"/>
  <Override PartName="/xl/comments8.xml" ContentType="application/vnd.openxmlformats-officedocument.spreadsheetml.comment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9302"/>
  <workbookPr/>
  <workbookProtection workbookPassword="F7F9" lockStructure="1"/>
  <bookViews>
    <workbookView xWindow="240" yWindow="120" windowWidth="14940" windowHeight="9225" firstSheet="1" activeTab="1"/>
  </bookViews>
  <sheets>
    <sheet name="Welcome-Lists" sheetId="2" state="hidden" r:id="rId2"/>
    <sheet name="Welcome" sheetId="4" r:id="rId3"/>
    <sheet name="Balance Sheet-Lists" sheetId="5" state="hidden" r:id="rId4"/>
    <sheet name="Balance Sheet" sheetId="7" r:id="rId5"/>
    <sheet name="Income Statement-Lists" sheetId="8" state="hidden" r:id="rId6"/>
    <sheet name="Income Statement" sheetId="10" r:id="rId7"/>
    <sheet name="Operations-Lists" sheetId="11" state="hidden" r:id="rId8"/>
    <sheet name="Operations" sheetId="13" r:id="rId9"/>
    <sheet name="Operational" sheetId="14" state="hidden" r:id="rId10"/>
    <sheet name="Financial" sheetId="15" state="hidden" r:id="rId11"/>
    <sheet name="DatasetProperties" sheetId="16" state="hidden" r:id="rId12"/>
    <sheet name="Data Checks-Lists" sheetId="17" state="hidden" r:id="rId13"/>
    <sheet name="Data Checks" sheetId="19" r:id="rId14"/>
  </sheets>
  <definedNames/>
  <calcPr fullCalcOnLoad="1"/>
</workbook>
</file>

<file path=xl/comments4.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33" authorId="0">
      <text>
        <r>
          <rPr>
            <b/>
            <sz val="10"/>
            <color rgb="FF000000"/>
            <rFont val="Calibri"/>
            <family val="2"/>
          </rPr>
          <t>Are You Reporting LIFO Ending Balances in This Survey?</t>
        </r>
        <r>
          <rPr>
            <sz val="10"/>
            <color rgb="FF000000"/>
            <rFont val="Calibri"/>
            <family val="2"/>
          </rPr>
          <t xml:space="preserve">
</t>
        </r>
        <r>
          <rPr>
            <sz val="10"/>
            <color rgb="FF000000"/>
            <rFont val="Calibri"/>
            <family val="2"/>
          </rPr>
          <t xml:space="preserve">'yes' means that we will adjust your survey results to FIFO using the values from the next three questions.
</t>
        </r>
        <r>
          <rPr>
            <sz val="10"/>
            <color rgb="FF000000"/>
            <rFont val="Calibri"/>
            <family val="2"/>
          </rPr>
          <t xml:space="preserve">
</t>
        </r>
        <r>
          <rPr>
            <sz val="10"/>
            <color rgb="FF000000"/>
            <rFont val="Calibri"/>
            <family val="2"/>
          </rPr>
          <t xml:space="preserve">'no' means that you are reporting FIFO ending-balances; we will not perform any adjustments.
</t>
        </r>
        <r>
          <rPr>
            <sz val="10"/>
            <color rgb="FF000000"/>
            <rFont val="Calibri"/>
            <family val="2"/>
          </rPr>
          <t xml:space="preserve">If you are using Average Inventory, please select 'no'.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41" authorId="0">
      <text>
        <r>
          <rPr>
            <b/>
            <sz val="10"/>
            <color rgb="FF000000"/>
            <rFont val="Calibri"/>
            <family val="2"/>
          </rPr>
          <t>2020 Corporate Tax Rate</t>
        </r>
        <r>
          <rPr>
            <sz val="10"/>
            <color rgb="FF000000"/>
            <rFont val="Calibri"/>
            <family val="2"/>
          </rPr>
          <t xml:space="preserve">
</t>
        </r>
        <r>
          <rPr>
            <sz val="10"/>
            <color rgb="FF000000"/>
            <rFont val="Calibri"/>
            <family val="2"/>
          </rPr>
          <t xml:space="preserve">This tax rate will be used to calculate the increase or decrease in earnings and tax expense as part of the LIFO-to-FIFO conversion.
</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0" authorId="0">
      <text>
        <r>
          <rPr>
            <b/>
            <sz val="10"/>
            <color rgb="FF000000"/>
            <rFont val="Calibri"/>
            <family val="2"/>
          </rPr>
          <t>2020 Ending Balance LIFO Reserve</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2019  Ending Balance LIFO Reserve</t>
        </r>
        <r>
          <rPr>
            <sz val="10"/>
            <color rgb="FF000000"/>
            <rFont val="Calibri"/>
            <family val="2"/>
          </rPr>
          <t xml:space="preserve">
</t>
        </r>
        <r>
          <rPr>
            <sz val="10"/>
            <color rgb="FF000000"/>
            <rFont val="Calibri"/>
            <family val="2"/>
          </rPr>
          <t xml:space="preserve">This is used to calculate the year-over-year change in LIFO Reserve which is required to convert from LIFO to FIFO.
</t>
        </r>
        <r>
          <rPr>
            <sz val="10"/>
            <color rgb="FF000000"/>
            <rFont val="Calibri"/>
            <family val="2"/>
          </rPr>
          <t xml:space="preserve">
</t>
        </r>
        <r>
          <rPr>
            <sz val="10"/>
            <color rgb="FF000000"/>
            <rFont val="Calibri"/>
            <family val="2"/>
          </rPr>
          <t xml:space="preserve">Report this number as it appears on the balance sheet (e.g. may be negative if purchase prices have generally increased since electing LIFO).
</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LIFO? leave this field blank</t>
        </r>
        <r>
          <rPr>
            <sz val="10"/>
            <color rgb="FF000000"/>
            <rFont val="Calibri"/>
            <family val="2"/>
          </rPr>
          <t xml:space="preserve">
</t>
        </r>
        <r>
          <rPr>
            <i/>
            <sz val="10"/>
            <color rgb="FF000000"/>
            <rFont val="Calibri"/>
            <family val="2"/>
          </rPr>
          <t>• use LIFO? answer must be specified</t>
        </r>
        <r>
          <rPr>
            <sz val="10"/>
            <color rgb="FF000000"/>
            <rFont val="Calibri"/>
            <family val="2"/>
          </rPr>
          <t xml:space="preserve">
</t>
        </r>
        <r>
          <rPr>
            <i/>
            <sz val="10"/>
            <color rgb="FF000000"/>
            <rFont val="Calibri"/>
            <family val="2"/>
          </rPr>
          <t>• don't use the $ sign, just enter the amount</t>
        </r>
      </text>
    </comment>
    <comment ref="I59" authorId="0">
      <text>
        <r>
          <rPr>
            <b/>
            <sz val="10"/>
            <color rgb="FF000000"/>
            <rFont val="Calibri"/>
            <family val="2"/>
          </rPr>
          <t>Dead Stock in Inventory at Year End</t>
        </r>
        <r>
          <rPr>
            <sz val="10"/>
            <color rgb="FF000000"/>
            <rFont val="Calibri"/>
            <family val="2"/>
          </rPr>
          <t xml:space="preserve">
</t>
        </r>
        <r>
          <rPr>
            <sz val="10"/>
            <color rgb="FF000000"/>
            <rFont val="Calibri"/>
            <family val="2"/>
          </rPr>
          <t xml:space="preserve">Inventory on hand with no sales in last 12 months.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0" authorId="0">
      <text>
        <r>
          <rPr>
            <b/>
            <sz val="10"/>
            <color rgb="FF000000"/>
            <rFont val="Calibri"/>
            <family val="2"/>
          </rPr>
          <t>Average FIFO or Average Inventory</t>
        </r>
        <r>
          <rPr>
            <sz val="10"/>
            <color rgb="FF000000"/>
            <rFont val="Calibri"/>
            <family val="2"/>
          </rPr>
          <t xml:space="preserve">
</t>
        </r>
        <r>
          <rPr>
            <sz val="10"/>
            <color rgb="FF000000"/>
            <rFont val="Calibri"/>
            <family val="2"/>
          </rPr>
          <t xml:space="preserve">The average end-of-the-month FIFO inventory during the course of the year.  The twelve end-of-month or average monthly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don't use the $ sign, just enter the amount</t>
        </r>
      </text>
    </comment>
    <comment ref="I61" authorId="0">
      <text>
        <r>
          <rPr>
            <b/>
            <sz val="10"/>
            <color rgb="FF000000"/>
            <rFont val="Calibri"/>
            <family val="2"/>
          </rPr>
          <t>Average Accounts Receivable</t>
        </r>
        <r>
          <rPr>
            <sz val="10"/>
            <color rgb="FF000000"/>
            <rFont val="Calibri"/>
            <family val="2"/>
          </rPr>
          <t xml:space="preserve">
</t>
        </r>
        <r>
          <rPr>
            <sz val="10"/>
            <color rgb="FF000000"/>
            <rFont val="Calibri"/>
            <family val="2"/>
          </rPr>
          <t xml:space="preserve">The average end-of-the-month accounts receivable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62" authorId="0">
      <text>
        <r>
          <rPr>
            <b/>
            <sz val="10"/>
            <color rgb="FF000000"/>
            <rFont val="Calibri"/>
            <family val="2"/>
          </rPr>
          <t>Average Accounts Payable</t>
        </r>
        <r>
          <rPr>
            <sz val="10"/>
            <color rgb="FF000000"/>
            <rFont val="Calibri"/>
            <family val="2"/>
          </rPr>
          <t xml:space="preserve">
</t>
        </r>
        <r>
          <rPr>
            <sz val="10"/>
            <color rgb="FF000000"/>
            <rFont val="Calibri"/>
            <family val="2"/>
          </rPr>
          <t xml:space="preserve">The average end-of-the-month accounts payable during the course of the year.  The twelve end-of-month figures should be added together and divided by twelve.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7" authorId="0">
      <text>
        <r>
          <rPr>
            <b/>
            <sz val="10"/>
            <color rgb="FF000000"/>
            <rFont val="Calibri"/>
            <family val="2"/>
          </rPr>
          <t>Cash and Marketable Securities</t>
        </r>
        <r>
          <rPr>
            <sz val="10"/>
            <color rgb="FF000000"/>
            <rFont val="Calibri"/>
            <family val="2"/>
          </rPr>
          <t xml:space="preserve">
</t>
        </r>
        <r>
          <rPr>
            <sz val="10"/>
            <color rgb="FF000000"/>
            <rFont val="Calibri"/>
            <family val="2"/>
          </rPr>
          <t xml:space="preserve">Cash on hand, in banks, investments in short-term securities that can be converted into cash without loss of principal in the current period. Long-term debt or equity securities should be included in Fixed and Non-Current Assets.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8" authorId="0">
      <text>
        <r>
          <rPr>
            <b/>
            <sz val="10"/>
            <color rgb="FF000000"/>
            <rFont val="Calibri"/>
            <family val="2"/>
          </rPr>
          <t>Accounts Receivable</t>
        </r>
        <r>
          <rPr>
            <sz val="10"/>
            <color rgb="FF000000"/>
            <rFont val="Calibri"/>
            <family val="2"/>
          </rPr>
          <t xml:space="preserve">
</t>
        </r>
        <r>
          <rPr>
            <sz val="10"/>
            <color rgb="FF000000"/>
            <rFont val="Calibri"/>
            <family val="2"/>
          </rPr>
          <t xml:space="preserve">Total amounts due from sales, less any applicable reserves and allowances for bad debt.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79" authorId="0">
      <text>
        <r>
          <rPr>
            <b/>
            <sz val="10"/>
            <color rgb="FF000000"/>
            <rFont val="Calibri"/>
            <family val="2"/>
          </rPr>
          <t>Inventory</t>
        </r>
        <r>
          <rPr>
            <sz val="10"/>
            <color rgb="FF000000"/>
            <rFont val="Calibri"/>
            <family val="2"/>
          </rPr>
          <t xml:space="preserve">
</t>
        </r>
        <r>
          <rPr>
            <sz val="10"/>
            <color rgb="FF000000"/>
            <rFont val="Calibri"/>
            <family val="2"/>
          </rPr>
          <t xml:space="preserve">The value of all items stocked for sales to customers.  This item should be reported as it appears on the Balance Sheet.  It should include LIFO Reserve if applicable.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0" authorId="0">
      <text>
        <r>
          <rPr>
            <b/>
            <sz val="10"/>
            <color rgb="FF000000"/>
            <rFont val="Calibri"/>
            <family val="2"/>
          </rPr>
          <t>Other Current Assets</t>
        </r>
        <r>
          <rPr>
            <sz val="10"/>
            <color rgb="FF000000"/>
            <rFont val="Calibri"/>
            <family val="2"/>
          </rPr>
          <t xml:space="preserve">
</t>
        </r>
        <r>
          <rPr>
            <sz val="10"/>
            <color rgb="FF000000"/>
            <rFont val="Calibri"/>
            <family val="2"/>
          </rPr>
          <t xml:space="preserve">All other items receivable within the year, including non-trade receivables and any other current asset.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Total Current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91" authorId="0">
      <text>
        <r>
          <rPr>
            <b/>
            <sz val="10"/>
            <color rgb="FF000000"/>
            <rFont val="Calibri"/>
            <family val="2"/>
          </rPr>
          <t>Total Fixed and Non-Current Assets</t>
        </r>
        <r>
          <rPr>
            <sz val="10"/>
            <color rgb="FF000000"/>
            <rFont val="Calibri"/>
            <family val="2"/>
          </rPr>
          <t xml:space="preserve">
</t>
        </r>
        <r>
          <rPr>
            <sz val="10"/>
            <color rgb="FF000000"/>
            <rFont val="Calibri"/>
            <family val="2"/>
          </rPr>
          <t xml:space="preserve">The net book value of land, buildings, improvements, vehicles, and equipment. Include intangible assets, long-term investments, such as stocks, bonds, and real estate held for investment rather than future use and the cash surrender value of life insurance.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96" authorId="0">
      <text>
        <r>
          <rPr>
            <b/>
            <sz val="10"/>
            <color rgb="FF000000"/>
            <rFont val="Calibri"/>
            <family val="2"/>
          </rPr>
          <t>Total Assets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Trade Accounts Payable</t>
        </r>
        <r>
          <rPr>
            <sz val="10"/>
            <color rgb="FF000000"/>
            <rFont val="Calibri"/>
            <family val="2"/>
          </rPr>
          <t xml:space="preserve">
</t>
        </r>
        <r>
          <rPr>
            <sz val="10"/>
            <color rgb="FF000000"/>
            <rFont val="Calibri"/>
            <family val="2"/>
          </rPr>
          <t xml:space="preserve">All trade accounts payable to manufacturers and other suppliers.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2" authorId="0">
      <text>
        <r>
          <rPr>
            <b/>
            <sz val="10"/>
            <color rgb="FF000000"/>
            <rFont val="Calibri"/>
            <family val="2"/>
          </rPr>
          <t>Notes Payable</t>
        </r>
        <r>
          <rPr>
            <sz val="10"/>
            <color rgb="FF000000"/>
            <rFont val="Calibri"/>
            <family val="2"/>
          </rPr>
          <t xml:space="preserve">
</t>
        </r>
        <r>
          <rPr>
            <sz val="10"/>
            <color rgb="FF000000"/>
            <rFont val="Calibri"/>
            <family val="2"/>
          </rPr>
          <t xml:space="preserve">All notes payable, including those owed to banks, finance companies, and insurance companies, that are due within one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3" authorId="0">
      <text>
        <r>
          <rPr>
            <b/>
            <sz val="10"/>
            <color rgb="FF000000"/>
            <rFont val="Calibri"/>
            <family val="2"/>
          </rPr>
          <t>Other Current Liabilities</t>
        </r>
        <r>
          <rPr>
            <sz val="10"/>
            <color rgb="FF000000"/>
            <rFont val="Calibri"/>
            <family val="2"/>
          </rPr>
          <t xml:space="preserve">
</t>
        </r>
        <r>
          <rPr>
            <sz val="10"/>
            <color rgb="FF000000"/>
            <rFont val="Calibri"/>
            <family val="2"/>
          </rPr>
          <t xml:space="preserve">All other items due within the year, including any provision for Federal Income Taxes, accrued expenses, line of credit balance, and any other liabilities of a current nature.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6" authorId="0">
      <text>
        <r>
          <rPr>
            <b/>
            <sz val="10"/>
            <color rgb="FF000000"/>
            <rFont val="Calibri"/>
            <family val="2"/>
          </rPr>
          <t>Total Current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4" authorId="0">
      <text>
        <r>
          <rPr>
            <b/>
            <sz val="10"/>
            <color rgb="FF000000"/>
            <rFont val="Calibri"/>
            <family val="2"/>
          </rPr>
          <t>Debt and Other Long Term Liabilities</t>
        </r>
        <r>
          <rPr>
            <sz val="10"/>
            <color rgb="FF000000"/>
            <rFont val="Calibri"/>
            <family val="2"/>
          </rPr>
          <t xml:space="preserve">
</t>
        </r>
        <r>
          <rPr>
            <sz val="10"/>
            <color rgb="FF000000"/>
            <rFont val="Calibri"/>
            <family val="2"/>
          </rPr>
          <t xml:space="preserve">Debt obligations due more than one year from the balance sheet date.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Loans From Stockholders</t>
        </r>
        <r>
          <rPr>
            <sz val="10"/>
            <color rgb="FF000000"/>
            <rFont val="Calibri"/>
            <family val="2"/>
          </rPr>
          <t xml:space="preserve">
</t>
        </r>
        <r>
          <rPr>
            <sz val="10"/>
            <color rgb="FF000000"/>
            <rFont val="Calibri"/>
            <family val="2"/>
          </rPr>
          <t xml:space="preserve">All loans to the firm made by current stockholders.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8" authorId="0">
      <text>
        <r>
          <rPr>
            <b/>
            <sz val="10"/>
            <color rgb="FF000000"/>
            <rFont val="Calibri"/>
            <family val="2"/>
          </rPr>
          <t>Total Long Term Liabilities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Net Worth or Owner Equity Before Current  Earnings</t>
        </r>
        <r>
          <rPr>
            <sz val="10"/>
            <color rgb="FF000000"/>
            <rFont val="Calibri"/>
            <family val="2"/>
          </rPr>
          <t xml:space="preserve">
</t>
        </r>
        <r>
          <rPr>
            <sz val="10"/>
            <color rgb="FF000000"/>
            <rFont val="Calibri"/>
            <family val="2"/>
          </rPr>
          <t xml:space="preserve">Include paid-in capital and retained earnings.  EXCLUDE Current (YTD) Earnings (put that in the next field).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2" authorId="0">
      <text>
        <r>
          <rPr>
            <b/>
            <sz val="10"/>
            <color rgb="FF000000"/>
            <rFont val="Calibri"/>
            <family val="2"/>
          </rPr>
          <t>Current  Earnings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5" authorId="0">
      <text>
        <r>
          <rPr>
            <b/>
            <sz val="10"/>
            <color rgb="FF000000"/>
            <rFont val="Calibri"/>
            <family val="2"/>
          </rPr>
          <t>Assets - Liabilities + Equity</t>
        </r>
        <r>
          <rPr>
            <sz val="10"/>
            <color rgb="FF000000"/>
            <rFont val="Calibri"/>
            <family val="2"/>
          </rPr>
          <t xml:space="preserve">
</t>
        </r>
        <r>
          <rPr>
            <sz val="10"/>
            <color rgb="FF000000"/>
            <rFont val="Calibri"/>
            <family val="2"/>
          </rPr>
          <t xml:space="preserve">
</t>
        </r>
        <r>
          <rPr>
            <i/>
            <sz val="10"/>
            <color rgb="FF000000"/>
            <rFont val="Calibri"/>
            <family val="2"/>
          </rPr>
          <t>• the balance sheet must balance</t>
        </r>
      </text>
    </comment>
  </commentList>
</comments>
</file>

<file path=xl/comments6.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Warehouse Sales</t>
        </r>
        <r>
          <rPr>
            <sz val="10"/>
            <color rgb="FF000000"/>
            <rFont val="Calibri"/>
            <family val="2"/>
          </rPr>
          <t xml:space="preser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6" authorId="0">
      <text>
        <r>
          <rPr>
            <b/>
            <sz val="10"/>
            <color rgb="FF000000"/>
            <rFont val="Calibri"/>
            <family val="2"/>
          </rPr>
          <t>Special Order</t>
        </r>
        <r>
          <rPr>
            <sz val="10"/>
            <color rgb="FF000000"/>
            <rFont val="Calibri"/>
            <family val="2"/>
          </rPr>
          <t xml:space="preserve">
</t>
        </r>
        <r>
          <rPr>
            <sz val="10"/>
            <color rgb="FF000000"/>
            <rFont val="Calibri"/>
            <family val="2"/>
          </rPr>
          <t xml:space="preserve">Arrive at your dock before delivery to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7" authorId="0">
      <text>
        <r>
          <rPr>
            <b/>
            <sz val="10"/>
            <color rgb="FF000000"/>
            <rFont val="Calibri"/>
            <family val="2"/>
          </rPr>
          <t>Drop Shipment</t>
        </r>
        <r>
          <rPr>
            <sz val="10"/>
            <color rgb="FF000000"/>
            <rFont val="Calibri"/>
            <family val="2"/>
          </rPr>
          <t xml:space="preserve">
</t>
        </r>
        <r>
          <rPr>
            <sz val="10"/>
            <color rgb="FF000000"/>
            <rFont val="Calibri"/>
            <family val="2"/>
          </rPr>
          <t xml:space="preserve">Shipped by supplier directly to the customer.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28" authorId="0">
      <text>
        <r>
          <rPr>
            <b/>
            <sz val="10"/>
            <color rgb="FF000000"/>
            <rFont val="Calibri"/>
            <family val="2"/>
          </rPr>
          <t>Other Sales</t>
        </r>
        <r>
          <rPr>
            <sz val="10"/>
            <color rgb="FF000000"/>
            <rFont val="Calibri"/>
            <family val="2"/>
          </rPr>
          <t xml:space="preserve">
</t>
        </r>
        <r>
          <rPr>
            <sz val="10"/>
            <color rgb="FF000000"/>
            <rFont val="Calibri"/>
            <family val="2"/>
          </rPr>
          <t xml:space="preserve">Sales not included in the three lines above.
</t>
        </r>
        <r>
          <rPr>
            <sz val="10"/>
            <color rgb="FF000000"/>
            <rFont val="Calibri"/>
            <family val="2"/>
          </rPr>
          <t xml:space="preserve">Include freight billed to customers.
</t>
        </r>
        <r>
          <rPr>
            <sz val="10"/>
            <color rgb="FF000000"/>
            <rFont val="Calibri"/>
            <family val="2"/>
          </rPr>
          <t xml:space="preserve">
</t>
        </r>
        <r>
          <rPr>
            <sz val="10"/>
            <color rgb="FF000000"/>
            <rFont val="Calibri"/>
            <family val="2"/>
          </rPr>
          <t xml:space="preserve">Enter dollars greater than $100, not percent of sales.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31" authorId="0">
      <text>
        <r>
          <rPr>
            <b/>
            <sz val="10"/>
            <color rgb="FF000000"/>
            <rFont val="Calibri"/>
            <family val="2"/>
          </rPr>
          <t>Total Sales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48" authorId="0">
      <text>
        <r>
          <rPr>
            <b/>
            <sz val="10"/>
            <color rgb="FF000000"/>
            <rFont val="Calibri"/>
            <family val="2"/>
          </rPr>
          <t>Warehouse</t>
        </r>
        <r>
          <rPr>
            <sz val="10"/>
            <color rgb="FF000000"/>
            <rFont val="Calibri"/>
            <family val="2"/>
          </rPr>
          <t xml:space="preserve">
</t>
        </r>
        <r>
          <rPr>
            <sz val="10"/>
            <color rgb="FF000000"/>
            <rFont val="Calibri"/>
            <family val="2"/>
          </rPr>
          <t xml:space="preserve">Shrinkage should be included here.  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Warehouse Sales = 0;
must be &gt; 100 when Warehouse Sales is &gt; 100</t>
        </r>
        <r>
          <rPr>
            <sz val="10"/>
            <color rgb="FF000000"/>
            <rFont val="Calibri"/>
            <family val="2"/>
          </rPr>
          <t xml:space="preserve">
</t>
        </r>
        <r>
          <rPr>
            <i/>
            <sz val="10"/>
            <color rgb="FF000000"/>
            <rFont val="Calibri"/>
            <family val="2"/>
          </rPr>
          <t>• don't use the $ sign, just enter the amount</t>
        </r>
      </text>
    </comment>
    <comment ref="I49" authorId="0">
      <text>
        <r>
          <rPr>
            <b/>
            <sz val="10"/>
            <color rgb="FF000000"/>
            <rFont val="Calibri"/>
            <family val="2"/>
          </rPr>
          <t>Special Order</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Special Order Sales = 0;
must be &gt; 100 when Special Order Sales is &gt; 100</t>
        </r>
        <r>
          <rPr>
            <sz val="10"/>
            <color rgb="FF000000"/>
            <rFont val="Calibri"/>
            <family val="2"/>
          </rPr>
          <t xml:space="preserve">
</t>
        </r>
        <r>
          <rPr>
            <i/>
            <sz val="10"/>
            <color rgb="FF000000"/>
            <rFont val="Calibri"/>
            <family val="2"/>
          </rPr>
          <t>• don't use the $ sign, just enter the amount</t>
        </r>
      </text>
    </comment>
    <comment ref="I50" authorId="0">
      <text>
        <r>
          <rPr>
            <b/>
            <sz val="10"/>
            <color rgb="FF000000"/>
            <rFont val="Calibri"/>
            <family val="2"/>
          </rPr>
          <t>Drop Shipment</t>
        </r>
        <r>
          <rPr>
            <sz val="10"/>
            <color rgb="FF000000"/>
            <rFont val="Calibri"/>
            <family val="2"/>
          </rPr>
          <t xml:space="preserv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Drop Shipment Sales = 0;
must be &gt; 100 when Drop Shipment Sales is &gt; 100</t>
        </r>
        <r>
          <rPr>
            <sz val="10"/>
            <color rgb="FF000000"/>
            <rFont val="Calibri"/>
            <family val="2"/>
          </rPr>
          <t xml:space="preserve">
</t>
        </r>
        <r>
          <rPr>
            <i/>
            <sz val="10"/>
            <color rgb="FF000000"/>
            <rFont val="Calibri"/>
            <family val="2"/>
          </rPr>
          <t>• don't use the $ sign, just enter the amount</t>
        </r>
      </text>
    </comment>
    <comment ref="I51" authorId="0">
      <text>
        <r>
          <rPr>
            <b/>
            <sz val="10"/>
            <color rgb="FF000000"/>
            <rFont val="Calibri"/>
            <family val="2"/>
          </rPr>
          <t>Other</t>
        </r>
        <r>
          <rPr>
            <sz val="10"/>
            <color rgb="FF000000"/>
            <rFont val="Calibri"/>
            <family val="2"/>
          </rPr>
          <t xml:space="preserve">
</t>
        </r>
        <r>
          <rPr>
            <sz val="10"/>
            <color rgb="FF000000"/>
            <rFont val="Calibri"/>
            <family val="2"/>
          </rPr>
          <t xml:space="preserve">COGS not included in the three lines above.  Include inventory write-down expense from inventory obsolescence.
</t>
        </r>
        <r>
          <rPr>
            <sz val="10"/>
            <color rgb="FF000000"/>
            <rFont val="Calibri"/>
            <family val="2"/>
          </rPr>
          <t xml:space="preserve">Enter dollars greater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 0 when Other Sales = 0;
must be &gt; 100 when Other Sales is &gt; 100</t>
        </r>
        <r>
          <rPr>
            <sz val="10"/>
            <color rgb="FF000000"/>
            <rFont val="Calibri"/>
            <family val="2"/>
          </rPr>
          <t xml:space="preserve">
</t>
        </r>
        <r>
          <rPr>
            <i/>
            <sz val="10"/>
            <color rgb="FF000000"/>
            <rFont val="Calibri"/>
            <family val="2"/>
          </rPr>
          <t>• don't use the $ sign, just enter the amount</t>
        </r>
      </text>
    </comment>
    <comment ref="I54" authorId="0">
      <text>
        <r>
          <rPr>
            <b/>
            <sz val="10"/>
            <color rgb="FF000000"/>
            <rFont val="Calibri"/>
            <family val="2"/>
          </rPr>
          <t>Gross Cost of Goods Sold</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69" authorId="0">
      <text>
        <r>
          <rPr>
            <b/>
            <sz val="10"/>
            <color rgb="FF000000"/>
            <rFont val="Calibri"/>
            <family val="2"/>
          </rPr>
          <t>Vendor Discounts</t>
        </r>
        <r>
          <rPr>
            <sz val="10"/>
            <color rgb="FF000000"/>
            <rFont val="Calibri"/>
            <family val="2"/>
          </rPr>
          <t xml:space="preserve">
</t>
        </r>
        <r>
          <rPr>
            <sz val="10"/>
            <color rgb="FF000000"/>
            <rFont val="Calibri"/>
            <family val="2"/>
          </rPr>
          <t xml:space="preserve">This is a contra-COGS account and should be entered as a negative number.  Includes all vendor discounts received on the invoice, such as prompt-pay discounts.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70" authorId="0">
      <text>
        <r>
          <rPr>
            <b/>
            <sz val="10"/>
            <color rgb="FF000000"/>
            <rFont val="Calibri"/>
            <family val="2"/>
          </rPr>
          <t>Vendor and Buy Group Rebates</t>
        </r>
        <r>
          <rPr>
            <sz val="10"/>
            <color rgb="FF000000"/>
            <rFont val="Calibri"/>
            <family val="2"/>
          </rPr>
          <t xml:space="preserve">
</t>
        </r>
        <r>
          <rPr>
            <sz val="10"/>
            <color rgb="FF000000"/>
            <rFont val="Calibri"/>
            <family val="2"/>
          </rPr>
          <t xml:space="preserve">This is a contra-COGS account and should be entered as a negative number.  Includes all rebates earned from vendors and buy groups.  Includes national account commissions, if applicable.  Enter dollars less than -$100, not percent of COGS.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&lt; -100</t>
        </r>
        <r>
          <rPr>
            <sz val="10"/>
            <color rgb="FF000000"/>
            <rFont val="Calibri"/>
            <family val="2"/>
          </rPr>
          <t xml:space="preserve">
</t>
        </r>
        <r>
          <rPr>
            <i/>
            <sz val="10"/>
            <color rgb="FF000000"/>
            <rFont val="Calibri"/>
            <family val="2"/>
          </rPr>
          <t>• don't use the $ sign, just enter the amount</t>
        </r>
      </text>
    </comment>
    <comment ref="I99" authorId="0">
      <text>
        <r>
          <rPr>
            <b/>
            <sz val="10"/>
            <color rgb="FF000000"/>
            <rFont val="Calibri"/>
            <family val="2"/>
          </rPr>
          <t>Executive Wage</t>
        </r>
        <r>
          <rPr>
            <sz val="10"/>
            <color rgb="FF000000"/>
            <rFont val="Calibri"/>
            <family val="2"/>
          </rPr>
          <t xml:space="preserve">
</t>
        </r>
        <r>
          <rPr>
            <sz val="10"/>
            <color rgb="FF000000"/>
            <rFont val="Calibri"/>
            <family val="2"/>
          </rPr>
          <t xml:space="preserve">Salaries and wages paid to C-level executives and owners; such as the CEO, COO, CFO and the CMO.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0" authorId="0">
      <text>
        <r>
          <rPr>
            <b/>
            <sz val="10"/>
            <color rgb="FF000000"/>
            <rFont val="Calibri"/>
            <family val="2"/>
          </rPr>
          <t>Sales Exec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1" authorId="0">
      <text>
        <r>
          <rPr>
            <b/>
            <sz val="10"/>
            <color rgb="FF000000"/>
            <rFont val="Calibri"/>
            <family val="2"/>
          </rPr>
          <t>Outside Sales Wage</t>
        </r>
        <r>
          <rPr>
            <sz val="10"/>
            <color rgb="FF000000"/>
            <rFont val="Calibri"/>
            <family val="2"/>
          </rPr>
          <t xml:space="preserve">
</t>
        </r>
        <r>
          <rPr>
            <sz val="10"/>
            <color rgb="FF000000"/>
            <rFont val="Calibri"/>
            <family val="2"/>
          </rPr>
          <t xml:space="preserve">Salaries and wages paid to sales personnel whose selling efforts are mainly off the employer's premises.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2" authorId="0">
      <text>
        <r>
          <rPr>
            <b/>
            <sz val="10"/>
            <color rgb="FF000000"/>
            <rFont val="Calibri"/>
            <family val="2"/>
          </rPr>
          <t>Inside Sales Wage</t>
        </r>
        <r>
          <rPr>
            <sz val="10"/>
            <color rgb="FF000000"/>
            <rFont val="Calibri"/>
            <family val="2"/>
          </rPr>
          <t xml:space="preserve">
</t>
        </r>
        <r>
          <rPr>
            <sz val="10"/>
            <color rgb="FF000000"/>
            <rFont val="Calibri"/>
            <family val="2"/>
          </rPr>
          <t xml:space="preserve">Salaries and wages paid to sales personnel, telemarketers, estimators, and quotation personnel who work on premise.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3" authorId="0">
      <text>
        <r>
          <rPr>
            <b/>
            <sz val="10"/>
            <color rgb="FF000000"/>
            <rFont val="Calibri"/>
            <family val="2"/>
          </rPr>
          <t>Branch Managers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4" authorId="0">
      <text>
        <r>
          <rPr>
            <b/>
            <sz val="10"/>
            <color rgb="FF000000"/>
            <rFont val="Calibri"/>
            <family val="2"/>
          </rPr>
          <t>Warehouse Wage</t>
        </r>
        <r>
          <rPr>
            <sz val="10"/>
            <color rgb="FF000000"/>
            <rFont val="Calibri"/>
            <family val="2"/>
          </rPr>
          <t xml:space="preserve">
</t>
        </r>
        <r>
          <rPr>
            <sz val="10"/>
            <color rgb="FF000000"/>
            <rFont val="Calibri"/>
            <family val="2"/>
          </rPr>
          <t xml:space="preserve">Salaries and wages paid to warehouse employees, receivers, dispatchers and order fillers.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5" authorId="0">
      <text>
        <r>
          <rPr>
            <b/>
            <sz val="10"/>
            <color rgb="FF000000"/>
            <rFont val="Calibri"/>
            <family val="2"/>
          </rPr>
          <t>Delivery Wage</t>
        </r>
        <r>
          <rPr>
            <sz val="10"/>
            <color rgb="FF000000"/>
            <rFont val="Calibri"/>
            <family val="2"/>
          </rPr>
          <t xml:space="preserve">
</t>
        </r>
        <r>
          <rPr>
            <sz val="10"/>
            <color rgb="FF000000"/>
            <rFont val="Calibri"/>
            <family val="2"/>
          </rPr>
          <t xml:space="preserve">Salaries and wages paid to employees engaged in delivery of merchandise to customers.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6" authorId="0">
      <text>
        <r>
          <rPr>
            <b/>
            <sz val="10"/>
            <color rgb="FF000000"/>
            <rFont val="Calibri"/>
            <family val="2"/>
          </rPr>
          <t>Accounting Wage</t>
        </r>
        <r>
          <rPr>
            <sz val="10"/>
            <color rgb="FF000000"/>
            <rFont val="Calibri"/>
            <family val="2"/>
          </rPr>
          <t xml:space="preserve">
</t>
        </r>
        <r>
          <rPr>
            <sz val="10"/>
            <color rgb="FF000000"/>
            <rFont val="Calibri"/>
            <family val="2"/>
          </rPr>
          <t xml:space="preserve">Salaries and wages paid to non-clerical accountants and other individuals engaged in billing and finance.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7" authorId="0">
      <text>
        <r>
          <rPr>
            <b/>
            <sz val="10"/>
            <color rgb="FF000000"/>
            <rFont val="Calibri"/>
            <family val="2"/>
          </rPr>
          <t>Credit Dept. Wage</t>
        </r>
        <r>
          <rPr>
            <sz val="10"/>
            <color rgb="FF000000"/>
            <rFont val="Calibri"/>
            <family val="2"/>
          </rPr>
          <t xml:space="preserve">
</t>
        </r>
        <r>
          <rPr>
            <sz val="10"/>
            <color rgb="FF000000"/>
            <rFont val="Calibri"/>
            <family val="2"/>
          </rPr>
          <t xml:space="preserve">Salaries and wages paid to credit managers, collection personnel and others engaged in the credit and collection process.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8" authorId="0">
      <text>
        <r>
          <rPr>
            <b/>
            <sz val="10"/>
            <color rgb="FF000000"/>
            <rFont val="Calibri"/>
            <family val="2"/>
          </rPr>
          <t>Purchasing Dept. Wage</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09" authorId="0">
      <text>
        <r>
          <rPr>
            <b/>
            <sz val="10"/>
            <color rgb="FF000000"/>
            <rFont val="Calibri"/>
            <family val="2"/>
          </rPr>
          <t>IT Dept. Wage</t>
        </r>
        <r>
          <rPr>
            <sz val="10"/>
            <color rgb="FF000000"/>
            <rFont val="Calibri"/>
            <family val="2"/>
          </rPr>
          <t xml:space="preserve">
</t>
        </r>
        <r>
          <rPr>
            <sz val="10"/>
            <color rgb="FF000000"/>
            <rFont val="Calibri"/>
            <family val="2"/>
          </rPr>
          <t xml:space="preserve">Salaries and wages paid to employees engaged in the IT department.
</t>
        </r>
        <r>
          <rPr>
            <sz val="10"/>
            <color rgb="FF000000"/>
            <rFont val="Calibri"/>
            <family val="2"/>
          </rPr>
          <t xml:space="preserve">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0" authorId="0">
      <text>
        <r>
          <rPr>
            <b/>
            <sz val="10"/>
            <color rgb="FF000000"/>
            <rFont val="Calibri"/>
            <family val="2"/>
          </rPr>
          <t>Customer Training and Technical Support Wage</t>
        </r>
        <r>
          <rPr>
            <sz val="10"/>
            <color rgb="FF000000"/>
            <rFont val="Calibri"/>
            <family val="2"/>
          </rPr>
          <t xml:space="preserve">
</t>
        </r>
        <r>
          <rPr>
            <sz val="10"/>
            <color rgb="FF000000"/>
            <rFont val="Calibri"/>
            <family val="2"/>
          </rPr>
          <t xml:space="preserve">Salaries and wages paid to employees whose primary role is providing technical support, advice, and training to customers.
</t>
        </r>
        <r>
          <rPr>
            <sz val="10"/>
            <color rgb="FF000000"/>
            <rFont val="Calibri"/>
            <family val="2"/>
          </rPr>
          <t xml:space="preserve">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1" authorId="0">
      <text>
        <r>
          <rPr>
            <b/>
            <sz val="10"/>
            <color rgb="FF000000"/>
            <rFont val="Calibri"/>
            <family val="2"/>
          </rPr>
          <t>All Other Wage</t>
        </r>
        <r>
          <rPr>
            <sz val="10"/>
            <color rgb="FF000000"/>
            <rFont val="Calibri"/>
            <family val="2"/>
          </rPr>
          <t xml:space="preserve">
</t>
        </r>
        <r>
          <rPr>
            <sz val="10"/>
            <color rgb="FF000000"/>
            <rFont val="Calibri"/>
            <family val="2"/>
          </rPr>
          <t xml:space="preserve">Include contract labor.  Include salaries, wages, commissions, and non-discretionary bonus.  EXCLUDE payroll taxes, benefits, and discretionary bonus.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14" authorId="0">
      <text>
        <r>
          <rPr>
            <b/>
            <sz val="10"/>
            <color rgb="FF000000"/>
            <rFont val="Calibri"/>
            <family val="2"/>
          </rPr>
          <t>Total Wages</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22" authorId="0">
      <text>
        <r>
          <rPr>
            <b/>
            <sz val="10"/>
            <color rgb="FF000000"/>
            <rFont val="Calibri"/>
            <family val="2"/>
          </rPr>
          <t>Payroll Taxes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3" authorId="0">
      <text>
        <r>
          <rPr>
            <b/>
            <sz val="10"/>
            <color rgb="FF000000"/>
            <rFont val="Calibri"/>
            <family val="2"/>
          </rPr>
          <t>Group Insurance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4" authorId="0">
      <text>
        <r>
          <rPr>
            <b/>
            <sz val="10"/>
            <color rgb="FF000000"/>
            <rFont val="Calibri"/>
            <family val="2"/>
          </rPr>
          <t>Other Personnel Expense</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5" authorId="0">
      <text>
        <r>
          <rPr>
            <b/>
            <sz val="10"/>
            <color rgb="FF000000"/>
            <rFont val="Calibri"/>
            <family val="2"/>
          </rPr>
          <t>Owners' and Officers' Discretionary Bonuses</t>
        </r>
        <r>
          <rPr>
            <sz val="10"/>
            <color rgb="FF000000"/>
            <rFont val="Calibri"/>
            <family val="2"/>
          </rPr>
          <t xml:space="preserve">
</t>
        </r>
        <r>
          <rPr>
            <sz val="10"/>
            <color rgb="FF000000"/>
            <rFont val="Calibri"/>
            <family val="2"/>
          </rPr>
          <t xml:space="preserve">A bonus made at the discretion of the employer and is not part of the owner's or officer's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6" authorId="0">
      <text>
        <r>
          <rPr>
            <b/>
            <sz val="10"/>
            <color rgb="FF000000"/>
            <rFont val="Calibri"/>
            <family val="2"/>
          </rPr>
          <t>Other Employees' Discretionary Bonuses</t>
        </r>
        <r>
          <rPr>
            <sz val="10"/>
            <color rgb="FF000000"/>
            <rFont val="Calibri"/>
            <family val="2"/>
          </rPr>
          <t xml:space="preserve">
</t>
        </r>
        <r>
          <rPr>
            <sz val="10"/>
            <color rgb="FF000000"/>
            <rFont val="Calibri"/>
            <family val="2"/>
          </rPr>
          <t xml:space="preserve">A bonus made at the discretion of the employer and is not part of the employee's expected wage.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29" authorId="0">
      <text>
        <r>
          <rPr>
            <b/>
            <sz val="10"/>
            <color rgb="FF000000"/>
            <rFont val="Calibri"/>
            <family val="2"/>
          </rPr>
          <t>Total Other Personnel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46" authorId="0">
      <text>
        <r>
          <rPr>
            <b/>
            <sz val="10"/>
            <color rgb="FF000000"/>
            <rFont val="Calibri"/>
            <family val="2"/>
          </rPr>
          <t>Utilities</t>
        </r>
        <r>
          <rPr>
            <sz val="10"/>
            <color rgb="FF000000"/>
            <rFont val="Calibri"/>
            <family val="2"/>
          </rPr>
          <t xml:space="preserve">
</t>
        </r>
        <r>
          <rPr>
            <sz val="10"/>
            <color rgb="FF000000"/>
            <rFont val="Calibri"/>
            <family val="2"/>
          </rPr>
          <t xml:space="preserve">Include fire service and solar.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7" authorId="0">
      <text>
        <r>
          <rPr>
            <b/>
            <sz val="10"/>
            <color rgb="FF000000"/>
            <rFont val="Calibri"/>
            <family val="2"/>
          </rPr>
          <t>Telephone and Network</t>
        </r>
        <r>
          <rPr>
            <sz val="10"/>
            <color rgb="FF000000"/>
            <rFont val="Calibri"/>
            <family val="2"/>
          </rPr>
          <t xml:space="preserve">
</t>
        </r>
        <r>
          <rPr>
            <sz val="10"/>
            <color rgb="FF000000"/>
            <rFont val="Calibri"/>
            <family val="2"/>
          </rPr>
          <t xml:space="preserve">EXCLUDE telephone charges related to sales (put that in Sales Expense).  EXCLUDE website expense (put that in Data Processing and Technology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8" authorId="0">
      <text>
        <r>
          <rPr>
            <b/>
            <sz val="10"/>
            <color rgb="FF000000"/>
            <rFont val="Calibri"/>
            <family val="2"/>
          </rPr>
          <t>Building Repairs and Maintenance</t>
        </r>
        <r>
          <rPr>
            <sz val="10"/>
            <color rgb="FF000000"/>
            <rFont val="Calibri"/>
            <family val="2"/>
          </rPr>
          <t xml:space="preserve">
</t>
        </r>
        <r>
          <rPr>
            <sz val="10"/>
            <color rgb="FF000000"/>
            <rFont val="Calibri"/>
            <family val="2"/>
          </rPr>
          <t xml:space="preserve">All costs associated with maintaining the physical plant.  Includes trash, janitorial service, landscape, office cleaning, parking lot, and snow removal.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49" authorId="0">
      <text>
        <r>
          <rPr>
            <b/>
            <sz val="10"/>
            <color rgb="FF000000"/>
            <rFont val="Calibri"/>
            <family val="2"/>
          </rPr>
          <t>Real Estate Rent/Ownership</t>
        </r>
        <r>
          <rPr>
            <sz val="10"/>
            <color rgb="FF000000"/>
            <rFont val="Calibri"/>
            <family val="2"/>
          </rPr>
          <t xml:space="preserve">
</t>
        </r>
        <r>
          <rPr>
            <sz val="10"/>
            <color rgb="FF000000"/>
            <rFont val="Calibri"/>
            <family val="2"/>
          </rPr>
          <t xml:space="preserve">All costs of owning or leasing buildings.  Include CAM.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52" authorId="0">
      <text>
        <r>
          <rPr>
            <b/>
            <sz val="10"/>
            <color rgb="FF000000"/>
            <rFont val="Calibri"/>
            <family val="2"/>
          </rPr>
          <t>Total Occupancy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164" authorId="0">
      <text>
        <r>
          <rPr>
            <b/>
            <sz val="10"/>
            <color rgb="FF000000"/>
            <rFont val="Calibri"/>
            <family val="2"/>
          </rPr>
          <t>Sales Expense</t>
        </r>
        <r>
          <rPr>
            <sz val="10"/>
            <color rgb="FF000000"/>
            <rFont val="Calibri"/>
            <family val="2"/>
          </rPr>
          <t xml:space="preserve">
</t>
        </r>
        <r>
          <rPr>
            <sz val="10"/>
            <color rgb="FF000000"/>
            <rFont val="Calibri"/>
            <family val="2"/>
          </rPr>
          <t xml:space="preserve">Include sales vehicles leased and owned (insurance, depreciation, interest expense), conference fees, charitable donations, catalogs, customer expense (incentives, meetings, training, trips), display materials, samples, demonstrators, special events, and meals &amp; entertainment.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5" authorId="0">
      <text>
        <r>
          <rPr>
            <b/>
            <sz val="10"/>
            <color rgb="FF000000"/>
            <rFont val="Calibri"/>
            <family val="2"/>
          </rPr>
          <t>Collections</t>
        </r>
        <r>
          <rPr>
            <sz val="10"/>
            <color rgb="FF000000"/>
            <rFont val="Calibri"/>
            <family val="2"/>
          </rPr>
          <t xml:space="preserve">
</t>
        </r>
        <r>
          <rPr>
            <sz val="10"/>
            <color rgb="FF000000"/>
            <rFont val="Calibri"/>
            <family val="2"/>
          </rPr>
          <t xml:space="preserve">All fees paid to collection agencies, banks and card processors.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6" authorId="0">
      <text>
        <r>
          <rPr>
            <b/>
            <sz val="10"/>
            <color rgb="FF000000"/>
            <rFont val="Calibri"/>
            <family val="2"/>
          </rPr>
          <t>Bad Debt Expense</t>
        </r>
        <r>
          <rPr>
            <sz val="10"/>
            <color rgb="FF000000"/>
            <rFont val="Calibri"/>
            <family val="2"/>
          </rPr>
          <t xml:space="preserve">
</t>
        </r>
        <r>
          <rPr>
            <sz val="10"/>
            <color rgb="FF000000"/>
            <rFont val="Calibri"/>
            <family val="2"/>
          </rPr>
          <t xml:space="preserve">The amount of customer accounts written off as not collectable or upon direct write-off of specific accounts.  Deduct amounts subsequently recovered.  Expense should be consistent with what's reported in your income statement.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7" authorId="0">
      <text>
        <r>
          <rPr>
            <b/>
            <sz val="10"/>
            <color rgb="FF000000"/>
            <rFont val="Calibri"/>
            <family val="2"/>
          </rPr>
          <t>Non-Sales Vehicle Expense</t>
        </r>
        <r>
          <rPr>
            <sz val="10"/>
            <color rgb="FF000000"/>
            <rFont val="Calibri"/>
            <family val="2"/>
          </rPr>
          <t xml:space="preserve">
</t>
        </r>
        <r>
          <rPr>
            <sz val="10"/>
            <color rgb="FF000000"/>
            <rFont val="Calibri"/>
            <family val="2"/>
          </rPr>
          <t xml:space="preserve">All costs incurred in operating company-owned or leased non-sales vehicles (cars, vans, trucks).  Include allowances, mileage, tires, and tolls.  EXCLUDE expenses for sales vehicles (put that in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8" authorId="0">
      <text>
        <r>
          <rPr>
            <b/>
            <sz val="10"/>
            <color rgb="FF000000"/>
            <rFont val="Calibri"/>
            <family val="2"/>
          </rPr>
          <t>Depreciation and Amortization</t>
        </r>
        <r>
          <rPr>
            <sz val="10"/>
            <color rgb="FF000000"/>
            <rFont val="Calibri"/>
            <family val="2"/>
          </rPr>
          <t xml:space="preserve">
</t>
        </r>
        <r>
          <rPr>
            <sz val="10"/>
            <color rgb="FF000000"/>
            <rFont val="Calibri"/>
            <family val="2"/>
          </rPr>
          <t xml:space="preserve">Include equipment, office equipment, furniture and fixtures, goodwill, computer hardware &amp; software, and tools.  EXCLUDE leasehold amortization and building depreciation (put that in Real Estate Rent/Ownership).  EXCLUDE vehicle depreciation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69" authorId="0">
      <text>
        <r>
          <rPr>
            <b/>
            <sz val="10"/>
            <color rgb="FF000000"/>
            <rFont val="Calibri"/>
            <family val="2"/>
          </rPr>
          <t>Data Processing and Technology</t>
        </r>
        <r>
          <rPr>
            <sz val="10"/>
            <color rgb="FF000000"/>
            <rFont val="Calibri"/>
            <family val="2"/>
          </rPr>
          <t xml:space="preserve">
</t>
        </r>
        <r>
          <rPr>
            <sz val="10"/>
            <color rgb="FF000000"/>
            <rFont val="Calibri"/>
            <family val="2"/>
          </rPr>
          <t xml:space="preserve">All IT related expenses.  Includes website, hosting, hardware &amp; software, license fees, repair &amp; maintenance, services, supplies, and support.  EXCLUDE telephone and network service fees (put that in Telephone and Network).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0" authorId="0">
      <text>
        <r>
          <rPr>
            <b/>
            <sz val="10"/>
            <color rgb="FF000000"/>
            <rFont val="Calibri"/>
            <family val="2"/>
          </rPr>
          <t>Employee Training</t>
        </r>
        <r>
          <rPr>
            <sz val="10"/>
            <color rgb="FF000000"/>
            <rFont val="Calibri"/>
            <family val="2"/>
          </rPr>
          <t xml:space="preserve">
</t>
        </r>
        <r>
          <rPr>
            <sz val="10"/>
            <color rgb="FF000000"/>
            <rFont val="Calibri"/>
            <family val="2"/>
          </rPr>
          <t xml:space="preserve">Includes conferences, lodging, meetings, seminars, tuition, travel &amp; transportation, and meals.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1" authorId="0">
      <text>
        <r>
          <rPr>
            <b/>
            <sz val="10"/>
            <color rgb="FF000000"/>
            <rFont val="Calibri"/>
            <family val="2"/>
          </rPr>
          <t>Insurance</t>
        </r>
        <r>
          <rPr>
            <sz val="10"/>
            <color rgb="FF000000"/>
            <rFont val="Calibri"/>
            <family val="2"/>
          </rPr>
          <t xml:space="preserve">
</t>
        </r>
        <r>
          <rPr>
            <sz val="10"/>
            <color rgb="FF000000"/>
            <rFont val="Calibri"/>
            <family val="2"/>
          </rPr>
          <t xml:space="preserve">Insurance premiums paid for coverage on merchandise in stock and all equipment.  EXCLUDE insurance on the warehouse (put that in Real Estate Rent/Ownership).  EXCLUDE insurance on vehicles (put that in Non-Sales Vehicle Expense and Sales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2" authorId="0">
      <text>
        <r>
          <rPr>
            <b/>
            <sz val="10"/>
            <color rgb="FF000000"/>
            <rFont val="Calibri"/>
            <family val="2"/>
          </rPr>
          <t>Personal Property Taxes and Licenses</t>
        </r>
        <r>
          <rPr>
            <sz val="10"/>
            <color rgb="FF000000"/>
            <rFont val="Calibri"/>
            <family val="2"/>
          </rPr>
          <t xml:space="preserve">
</t>
        </r>
        <r>
          <rPr>
            <sz val="10"/>
            <color rgb="FF000000"/>
            <rFont val="Calibri"/>
            <family val="2"/>
          </rPr>
          <t xml:space="preserve">State and local taxes not included elsewhere such as inventory tax, state franchise and capital stock taxes.  Include all licensing fees.  EXCLUDE Federal, State and Local income tax (put that in Income Taxes).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3" authorId="0">
      <text>
        <r>
          <rPr>
            <b/>
            <sz val="10"/>
            <color rgb="FF000000"/>
            <rFont val="Calibri"/>
            <family val="2"/>
          </rPr>
          <t>Other Operations Expenses</t>
        </r>
        <r>
          <rPr>
            <sz val="10"/>
            <color rgb="FF000000"/>
            <rFont val="Calibri"/>
            <family val="2"/>
          </rPr>
          <t xml:space="preserve">
</t>
        </r>
        <r>
          <rPr>
            <sz val="10"/>
            <color rgb="FF000000"/>
            <rFont val="Calibri"/>
            <family val="2"/>
          </rPr>
          <t xml:space="preserve">Includes other occupancy expense, equipment rental, equipment repairs &amp; maintenance, operating supplies, warranty expense, office supplies, professional services, delivery courier expense, and other administrative expense.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178" authorId="0">
      <text>
        <r>
          <rPr>
            <b/>
            <sz val="10"/>
            <color rgb="FF000000"/>
            <rFont val="Calibri"/>
            <family val="2"/>
          </rPr>
          <t>Total Operations Expense</t>
        </r>
        <r>
          <rPr>
            <sz val="10"/>
            <color rgb="FF000000"/>
            <rFont val="Calibri"/>
            <family val="2"/>
          </rPr>
          <t xml:space="preserve">
</t>
        </r>
        <r>
          <rPr>
            <sz val="10"/>
            <color rgb="FF000000"/>
            <rFont val="Calibri"/>
            <family val="2"/>
          </rPr>
          <t xml:space="preserve">
</t>
        </r>
        <r>
          <rPr>
            <i/>
            <sz val="10"/>
            <color rgb="FF000000"/>
            <rFont val="Calibri"/>
            <family val="2"/>
          </rPr>
          <t>• must be &gt; 0</t>
        </r>
      </text>
    </comment>
    <comment ref="I203" authorId="0">
      <text>
        <r>
          <rPr>
            <b/>
            <sz val="10"/>
            <color rgb="FF000000"/>
            <rFont val="Calibri"/>
            <family val="2"/>
          </rPr>
          <t>Other Income</t>
        </r>
        <r>
          <rPr>
            <sz val="10"/>
            <color rgb="FF000000"/>
            <rFont val="Calibri"/>
            <family val="2"/>
          </rPr>
          <t xml:space="preserve">
</t>
        </r>
        <r>
          <rPr>
            <sz val="10"/>
            <color rgb="FF000000"/>
            <rFont val="Calibri"/>
            <family val="2"/>
          </rPr>
          <t xml:space="preserve">Vendor and buy group rebates as well as purchase discounts belong in Discounts and Rebates.  Include other non-core income like rental income and sales tax discounts.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4" authorId="0">
      <text>
        <r>
          <rPr>
            <b/>
            <sz val="10"/>
            <color rgb="FF000000"/>
            <rFont val="Calibri"/>
            <family val="2"/>
          </rPr>
          <t>Interest Expense</t>
        </r>
        <r>
          <rPr>
            <sz val="10"/>
            <color rgb="FF000000"/>
            <rFont val="Calibri"/>
            <family val="2"/>
          </rPr>
          <t xml:space="preserve">
</t>
        </r>
        <r>
          <rPr>
            <sz val="10"/>
            <color rgb="FF000000"/>
            <rFont val="Calibri"/>
            <family val="2"/>
          </rPr>
          <t xml:space="preserve">Interest paid or accrued on funds borrowed by the company from banks, loan institutions, life insurance companies, individuals or others.  EXCLUDE mortgage interest (put that in Real Estate Rent/Ownership).  EXCLUDE vehicle interest (put that in Non-Sales Vehicle Expense and Sales Expense).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5" authorId="0">
      <text>
        <r>
          <rPr>
            <b/>
            <sz val="10"/>
            <color rgb="FF000000"/>
            <rFont val="Calibri"/>
            <family val="2"/>
          </rPr>
          <t>Other Non-Operating Expense</t>
        </r>
        <r>
          <rPr>
            <sz val="10"/>
            <color rgb="FF000000"/>
            <rFont val="Calibri"/>
            <family val="2"/>
          </rPr>
          <t xml:space="preserve">
</t>
        </r>
        <r>
          <rPr>
            <sz val="10"/>
            <color rgb="FF000000"/>
            <rFont val="Calibri"/>
            <family val="2"/>
          </rPr>
          <t xml:space="preserve">Expenses and costs unrelated to the business, such as loss on the sale or disposal of assets, rental property, extraordinary expense, and other non-core expense.  EXCLUDE sales discounts (put that in Sales By Path).
</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16" authorId="0">
      <text>
        <r>
          <rPr>
            <b/>
            <sz val="10"/>
            <color rgb="FF000000"/>
            <rFont val="Calibri"/>
            <family val="2"/>
          </rPr>
          <t>Income Taxes</t>
        </r>
        <r>
          <rPr>
            <sz val="10"/>
            <color rgb="FF000000"/>
            <rFont val="Calibri"/>
            <family val="2"/>
          </rPr>
          <t xml:space="preserve">
</t>
        </r>
        <r>
          <rPr>
            <sz val="10"/>
            <color rgb="FF000000"/>
            <rFont val="Calibri"/>
            <family val="2"/>
          </rPr>
          <t xml:space="preserve">Use negative numbers, as is typical in most financial statements.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don't use the $ sign, just enter the amount</t>
        </r>
      </text>
    </comment>
    <comment ref="I237" authorId="0">
      <text>
        <r>
          <rPr>
            <b/>
            <sz val="10"/>
            <color rgb="FF000000"/>
            <rFont val="Calibri"/>
            <family val="2"/>
          </rPr>
          <t>Current  Earnings = Net Profit</t>
        </r>
        <r>
          <rPr>
            <sz val="10"/>
            <color rgb="FF000000"/>
            <rFont val="Calibri"/>
            <family val="2"/>
          </rPr>
          <t xml:space="preserve">
</t>
        </r>
        <r>
          <rPr>
            <sz val="10"/>
            <color rgb="FF000000"/>
            <rFont val="Calibri"/>
            <family val="2"/>
          </rPr>
          <t xml:space="preserve">
</t>
        </r>
        <r>
          <rPr>
            <i/>
            <sz val="10"/>
            <color rgb="FF000000"/>
            <rFont val="Calibri"/>
            <family val="2"/>
          </rPr>
          <t>• current (ytd) earnings must equal net profit</t>
        </r>
      </text>
    </comment>
  </commentList>
</comments>
</file>

<file path=xl/comments8.xml><?xml version="1.0" encoding="utf-8"?>
<comments xmlns="http://schemas.openxmlformats.org/spreadsheetml/2006/main">
  <authors>
    <author>suraj</author>
  </authors>
  <commentList>
    <comment ref="I13" authorId="0">
      <text>
        <r>
          <rPr>
            <b/>
            <sz val="10"/>
            <color rgb="FF000000"/>
            <rFont val="Calibri"/>
            <family val="2"/>
          </rPr>
          <t>The Title of The Question Will Be Here</t>
        </r>
        <r>
          <rPr>
            <sz val="10"/>
            <color rgb="FF000000"/>
            <rFont val="Calibri"/>
            <family val="2"/>
          </rPr>
          <t xml:space="preserve">
</t>
        </r>
        <r>
          <rPr>
            <sz val="10"/>
            <color rgb="FF000000"/>
            <rFont val="Calibri"/>
            <family val="2"/>
          </rPr>
          <t xml:space="preserve">A detailed description of the field will be here.
</t>
        </r>
        <r>
          <rPr>
            <sz val="10"/>
            <color rgb="FF000000"/>
            <rFont val="Calibri"/>
            <family val="2"/>
          </rPr>
          <t xml:space="preserve">
</t>
        </r>
        <r>
          <rPr>
            <sz val="10"/>
            <color rgb="FF000000"/>
            <rFont val="Calibri"/>
            <family val="2"/>
          </rPr>
          <t xml:space="preserve">When helpful, we'll highlight what to include and what to exclude when answering the question.
</t>
        </r>
        <r>
          <rPr>
            <sz val="10"/>
            <color rgb="FF000000"/>
            <rFont val="Calibri"/>
            <family val="2"/>
          </rPr>
          <t xml:space="preserve">
</t>
        </r>
        <r>
          <rPr>
            <sz val="10"/>
            <color rgb="FF000000"/>
            <rFont val="Calibri"/>
            <family val="2"/>
          </rPr>
          <t>We will also specify any constraints that will be placed on your answer.</t>
        </r>
      </text>
    </comment>
    <comment ref="I25" authorId="0">
      <text>
        <r>
          <rPr>
            <b/>
            <sz val="10"/>
            <color rgb="FF000000"/>
            <rFont val="Calibri"/>
            <family val="2"/>
          </rPr>
          <t>Percent of Purchases Made Through All Buying Groups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0" authorId="0">
      <text>
        <r>
          <rPr>
            <b/>
            <sz val="10"/>
            <color rgb="FF000000"/>
            <rFont val="Calibri"/>
            <family val="2"/>
          </rPr>
          <t>Percent of Sales Paid With Cash, Check, or COD</t>
        </r>
        <r>
          <rPr>
            <sz val="10"/>
            <color rgb="FF000000"/>
            <rFont val="Calibri"/>
            <family val="2"/>
          </rPr>
          <t xml:space="preserve">
</t>
        </r>
        <r>
          <rPr>
            <sz val="10"/>
            <color rgb="FF000000"/>
            <rFont val="Calibri"/>
            <family val="2"/>
          </rPr>
          <t xml:space="preserve">All sales where the distributor does not provide credit to the customer.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39" authorId="0">
      <text>
        <r>
          <rPr>
            <b/>
            <sz val="10"/>
            <color rgb="FF000000"/>
            <rFont val="Calibri"/>
            <family val="2"/>
          </rPr>
          <t>Percent of Sales Transacted Online</t>
        </r>
        <r>
          <rPr>
            <sz val="10"/>
            <color rgb="FF000000"/>
            <rFont val="Calibri"/>
            <family val="2"/>
          </rPr>
          <t xml:space="preserve">
</t>
        </r>
        <r>
          <rPr>
            <sz val="10"/>
            <color rgb="FF000000"/>
            <rFont val="Calibri"/>
            <family val="2"/>
          </rPr>
          <t xml:space="preserve">All sales where the customer selects and purchases products via the web or a mobile app (i.e. not over the phone or in-person).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r>
          <rPr>
            <sz val="10"/>
            <color rgb="FF000000"/>
            <rFont val="Calibri"/>
            <family val="2"/>
          </rPr>
          <t xml:space="preserve">
</t>
        </r>
        <r>
          <rPr>
            <i/>
            <sz val="10"/>
            <color rgb="FF000000"/>
            <rFont val="Calibri"/>
            <family val="2"/>
          </rPr>
          <t>• must be &lt;= 100</t>
        </r>
        <r>
          <rPr>
            <sz val="10"/>
            <color rgb="FF000000"/>
            <rFont val="Calibri"/>
            <family val="2"/>
          </rPr>
          <t xml:space="preserve">
</t>
        </r>
        <r>
          <rPr>
            <i/>
            <sz val="10"/>
            <color rgb="FF000000"/>
            <rFont val="Calibri"/>
            <family val="2"/>
          </rPr>
          <t>• don't use the % sign, just enter the number</t>
        </r>
        <r>
          <rPr>
            <sz val="10"/>
            <color rgb="FF000000"/>
            <rFont val="Calibri"/>
            <family val="2"/>
          </rPr>
          <t xml:space="preserve">
</t>
        </r>
        <r>
          <rPr>
            <i/>
            <sz val="10"/>
            <color rgb="FF000000"/>
            <rFont val="Calibri"/>
            <family val="2"/>
          </rPr>
          <t>• use decimals for fractions (e.g. 5.3 for 5.3%, not .53)</t>
        </r>
      </text>
    </comment>
    <comment ref="I57" authorId="0">
      <text>
        <r>
          <rPr>
            <b/>
            <sz val="10"/>
            <color rgb="FF000000"/>
            <rFont val="Calibri"/>
            <family val="2"/>
          </rPr>
          <t>Affiliated Distributors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8" authorId="0">
      <text>
        <r>
          <rPr>
            <b/>
            <sz val="10"/>
            <color rgb="FF000000"/>
            <rFont val="Calibri"/>
            <family val="2"/>
          </rPr>
          <t>BLUE HAWK</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59" authorId="0">
      <text>
        <r>
          <rPr>
            <b/>
            <sz val="10"/>
            <color rgb="FF000000"/>
            <rFont val="Calibri"/>
            <family val="2"/>
          </rPr>
          <t>Controls Group North America</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0" authorId="0">
      <text>
        <r>
          <rPr>
            <b/>
            <sz val="10"/>
            <color rgb="FF000000"/>
            <rFont val="Calibri"/>
            <family val="2"/>
          </rPr>
          <t>Heritage Distribution Holdings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1" authorId="0">
      <text>
        <r>
          <rPr>
            <b/>
            <sz val="10"/>
            <color rgb="FF000000"/>
            <rFont val="Calibri"/>
            <family val="2"/>
          </rPr>
          <t>Johnstone Supply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2" authorId="0">
      <text>
        <r>
          <rPr>
            <b/>
            <sz val="10"/>
            <color rgb="FF000000"/>
            <rFont val="Calibri"/>
            <family val="2"/>
          </rPr>
          <t>Key Wholesaler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3" authorId="0">
      <text>
        <r>
          <rPr>
            <b/>
            <sz val="10"/>
            <color rgb="FF000000"/>
            <rFont val="Calibri"/>
            <family val="2"/>
          </rPr>
          <t>NIDC</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64" authorId="0">
      <text>
        <r>
          <rPr>
            <b/>
            <sz val="10"/>
            <color rgb="FF000000"/>
            <rFont val="Calibri"/>
            <family val="2"/>
          </rPr>
          <t>The Commonwealth Group</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select a value from the drop-down</t>
        </r>
      </text>
    </comment>
    <comment ref="I76" authorId="0">
      <text>
        <r>
          <rPr>
            <b/>
            <sz val="10"/>
            <color rgb="FF000000"/>
            <rFont val="Calibri"/>
            <family val="2"/>
          </rPr>
          <t>Total Sales by Path</t>
        </r>
        <r>
          <rPr>
            <sz val="10"/>
            <color rgb="FF000000"/>
            <rFont val="Calibri"/>
            <family val="2"/>
          </rPr>
          <t xml:space="preserve">
</t>
        </r>
        <r>
          <rPr>
            <sz val="10"/>
            <color rgb="FF000000"/>
            <rFont val="Calibri"/>
            <family val="2"/>
          </rPr>
          <t>This is the 'Total Sales' from the 'Income Statement' tab.</t>
        </r>
      </text>
    </comment>
    <comment ref="I81" authorId="0">
      <text>
        <r>
          <rPr>
            <b/>
            <sz val="10"/>
            <color rgb="FF000000"/>
            <rFont val="Calibri"/>
            <family val="2"/>
          </rPr>
          <t>Controls and Control Parts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2" authorId="0">
      <text>
        <r>
          <rPr>
            <b/>
            <sz val="10"/>
            <color rgb="FF000000"/>
            <rFont val="Calibri"/>
            <family val="2"/>
          </rPr>
          <t>Refrigerants and Refrigeration Accessories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3" authorId="0">
      <text>
        <r>
          <rPr>
            <b/>
            <sz val="10"/>
            <color rgb="FF000000"/>
            <rFont val="Calibri"/>
            <family val="2"/>
          </rPr>
          <t>Refrigeration Equipment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4" authorId="0">
      <text>
        <r>
          <rPr>
            <b/>
            <sz val="10"/>
            <color rgb="FF000000"/>
            <rFont val="Calibri"/>
            <family val="2"/>
          </rPr>
          <t>Sheet Metal and Sheet Metal Items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5" authorId="0">
      <text>
        <r>
          <rPr>
            <b/>
            <sz val="10"/>
            <color rgb="FF000000"/>
            <rFont val="Calibri"/>
            <family val="2"/>
          </rPr>
          <t>HVAC Light Commercial Equipment</t>
        </r>
        <r>
          <rPr>
            <sz val="10"/>
            <color rgb="FF000000"/>
            <rFont val="Calibri"/>
            <family val="2"/>
          </rPr>
          <t xml:space="preserve">
</t>
        </r>
        <r>
          <rPr>
            <sz val="10"/>
            <color rgb="FF000000"/>
            <rFont val="Calibri"/>
            <family val="2"/>
          </rPr>
          <t xml:space="preserve">Rooftop units and three phase split systems up to 25 tons; boilers more than 400K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6" authorId="0">
      <text>
        <r>
          <rPr>
            <b/>
            <sz val="10"/>
            <color rgb="FF000000"/>
            <rFont val="Calibri"/>
            <family val="2"/>
          </rPr>
          <t>HVAC Unitary Equipment</t>
        </r>
        <r>
          <rPr>
            <sz val="10"/>
            <color rgb="FF000000"/>
            <rFont val="Calibri"/>
            <family val="2"/>
          </rPr>
          <t xml:space="preserve">
</t>
        </r>
        <r>
          <rPr>
            <sz val="10"/>
            <color rgb="FF000000"/>
            <rFont val="Calibri"/>
            <family val="2"/>
          </rPr>
          <t xml:space="preserve">Residential single phase package units and split systems up to 5 tons; boilers less than 399K BTU.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7" authorId="0">
      <text>
        <r>
          <rPr>
            <b/>
            <sz val="10"/>
            <color rgb="FF000000"/>
            <rFont val="Calibri"/>
            <family val="2"/>
          </rPr>
          <t>Heating and AC Supplies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8" authorId="0">
      <text>
        <r>
          <rPr>
            <b/>
            <sz val="10"/>
            <color rgb="FF000000"/>
            <rFont val="Calibri"/>
            <family val="2"/>
          </rPr>
          <t>Plumbing and Hydronics</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89" authorId="0">
      <text>
        <r>
          <rPr>
            <b/>
            <sz val="10"/>
            <color rgb="FF000000"/>
            <rFont val="Calibri"/>
            <family val="2"/>
          </rPr>
          <t>All Other Products</t>
        </r>
        <r>
          <rPr>
            <sz val="10"/>
            <color rgb="FF000000"/>
            <rFont val="Calibri"/>
            <family val="2"/>
          </rPr>
          <t xml:space="preserve">
</t>
        </r>
        <r>
          <rPr>
            <sz val="10"/>
            <color rgb="FF000000"/>
            <rFont val="Calibri"/>
            <family val="2"/>
          </rPr>
          <t xml:space="preserve">Product sales not reported above.  Include Applied products and chillers here.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0 or &gt; 100</t>
        </r>
        <r>
          <rPr>
            <sz val="10"/>
            <color rgb="FF000000"/>
            <rFont val="Calibri"/>
            <family val="2"/>
          </rPr>
          <t xml:space="preserve">
</t>
        </r>
        <r>
          <rPr>
            <i/>
            <sz val="10"/>
            <color rgb="FF000000"/>
            <rFont val="Calibri"/>
            <family val="2"/>
          </rPr>
          <t>• don't use the $ sign, just enter the amount</t>
        </r>
      </text>
    </comment>
    <comment ref="I97" authorId="0">
      <text>
        <r>
          <rPr>
            <b/>
            <sz val="10"/>
            <color rgb="FF000000"/>
            <rFont val="Calibri"/>
            <family val="2"/>
          </rPr>
          <t>[Total Sales by Path] - [Total Sales by Product Category]</t>
        </r>
        <r>
          <rPr>
            <sz val="10"/>
            <color rgb="FF000000"/>
            <rFont val="Calibri"/>
            <family val="2"/>
          </rPr>
          <t xml:space="preserve">
</t>
        </r>
        <r>
          <rPr>
            <sz val="10"/>
            <color rgb="FF000000"/>
            <rFont val="Calibri"/>
            <family val="2"/>
          </rPr>
          <t xml:space="preserve">
</t>
        </r>
        <r>
          <rPr>
            <i/>
            <sz val="10"/>
            <color rgb="FF000000"/>
            <rFont val="Calibri"/>
            <family val="2"/>
          </rPr>
          <t>• Total Sales by Product Category must equal Total Sales by Path from the 'Income Statement' tab.</t>
        </r>
      </text>
    </comment>
    <comment ref="I109" authorId="0">
      <text>
        <r>
          <rPr>
            <b/>
            <sz val="10"/>
            <color rgb="FF000000"/>
            <rFont val="Calibri"/>
            <family val="2"/>
          </rPr>
          <t>Number of Active Customers With 6 or More Orders Annually</t>
        </r>
        <r>
          <rPr>
            <sz val="10"/>
            <color rgb="FF000000"/>
            <rFont val="Calibri"/>
            <family val="2"/>
          </rPr>
          <t xml:space="preserve">
</t>
        </r>
        <r>
          <rPr>
            <sz val="10"/>
            <color rgb="FF000000"/>
            <rFont val="Calibri"/>
            <family val="2"/>
          </rPr>
          <t xml:space="preserve">The number of customers placing 6 or more orders during the year.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0" authorId="0">
      <text>
        <r>
          <rPr>
            <b/>
            <sz val="10"/>
            <color rgb="FF000000"/>
            <rFont val="Calibri"/>
            <family val="2"/>
          </rPr>
          <t>Number of Stock Keeping Units  Carried</t>
        </r>
        <r>
          <rPr>
            <sz val="10"/>
            <color rgb="FF000000"/>
            <rFont val="Calibri"/>
            <family val="2"/>
          </rPr>
          <t xml:space="preserve">
</t>
        </r>
        <r>
          <rPr>
            <sz val="10"/>
            <color rgb="FF000000"/>
            <rFont val="Calibri"/>
            <family val="2"/>
          </rPr>
          <t xml:space="preserve">The number of different items carried in inventory.  An item is designated by an individual SKU number.  The same SKU carried in three different branch locations would only be counted as one SKU.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1" authorId="0">
      <text>
        <r>
          <rPr>
            <b/>
            <sz val="10"/>
            <color rgb="FF000000"/>
            <rFont val="Calibri"/>
            <family val="2"/>
          </rPr>
          <t>Average Number of Orders Shipped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2" authorId="0">
      <text>
        <r>
          <rPr>
            <b/>
            <sz val="10"/>
            <color rgb="FF000000"/>
            <rFont val="Calibri"/>
            <family val="2"/>
          </rPr>
          <t>Average Number of Lines Per Order</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13" authorId="0">
      <text>
        <r>
          <rPr>
            <b/>
            <sz val="10"/>
            <color rgb="FF000000"/>
            <rFont val="Calibri"/>
            <family val="2"/>
          </rPr>
          <t>Average Number of Shipments Received Monthly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14" authorId="0">
      <text>
        <r>
          <rPr>
            <b/>
            <sz val="10"/>
            <color rgb="FF000000"/>
            <rFont val="Calibri"/>
            <family val="2"/>
          </rPr>
          <t>Number of Branches</t>
        </r>
        <r>
          <rPr>
            <sz val="10"/>
            <color rgb="FF000000"/>
            <rFont val="Calibri"/>
            <family val="2"/>
          </rPr>
          <t xml:space="preserve">
</t>
        </r>
        <r>
          <rPr>
            <sz val="10"/>
            <color rgb="FF000000"/>
            <rFont val="Calibri"/>
            <family val="2"/>
          </rPr>
          <t xml:space="preserve">Branches include locations where in-person sales are transacted (e.g., contains a customer counter). Excludes distribution centers with no in-person sales function.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must be a whole number</t>
        </r>
        <r>
          <rPr>
            <sz val="10"/>
            <color rgb="FF000000"/>
            <rFont val="Calibri"/>
            <family val="2"/>
          </rPr>
          <t xml:space="preserve">
</t>
        </r>
        <r>
          <rPr>
            <i/>
            <sz val="10"/>
            <color rgb="FF000000"/>
            <rFont val="Calibri"/>
            <family val="2"/>
          </rPr>
          <t>• must be &gt;= 0</t>
        </r>
      </text>
    </comment>
    <comment ref="I132" authorId="0">
      <text>
        <r>
          <rPr>
            <b/>
            <sz val="10"/>
            <color rgb="FF000000"/>
            <rFont val="Calibri"/>
            <family val="2"/>
          </rPr>
          <t>Executive Management</t>
        </r>
        <r>
          <rPr>
            <sz val="10"/>
            <color rgb="FF000000"/>
            <rFont val="Calibri"/>
            <family val="2"/>
          </rPr>
          <t xml:space="preserve">
</t>
        </r>
        <r>
          <rPr>
            <sz val="10"/>
            <color rgb="FF000000"/>
            <rFont val="Calibri"/>
            <family val="2"/>
          </rPr>
          <t xml:space="preserve">C-level executives and owners; such as the CEO, COO, CFO and the CMO.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0" authorId="0">
      <text>
        <r>
          <rPr>
            <b/>
            <sz val="10"/>
            <color rgb="FF000000"/>
            <rFont val="Calibri"/>
            <family val="2"/>
          </rPr>
          <t>Sales Management</t>
        </r>
        <r>
          <rPr>
            <sz val="10"/>
            <color rgb="FF000000"/>
            <rFont val="Calibri"/>
            <family val="2"/>
          </rPr>
          <t xml:space="preserve">
</t>
        </r>
        <r>
          <rPr>
            <sz val="10"/>
            <color rgb="FF000000"/>
            <rFont val="Calibri"/>
            <family val="2"/>
          </rPr>
          <t xml:space="preserve">Include Sales Analysts and Pricing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1" authorId="0">
      <text>
        <r>
          <rPr>
            <b/>
            <sz val="10"/>
            <color rgb="FF000000"/>
            <rFont val="Calibri"/>
            <family val="2"/>
          </rPr>
          <t>Outside Sales</t>
        </r>
        <r>
          <rPr>
            <sz val="10"/>
            <color rgb="FF000000"/>
            <rFont val="Calibri"/>
            <family val="2"/>
          </rPr>
          <t xml:space="preserve">
</t>
        </r>
        <r>
          <rPr>
            <sz val="10"/>
            <color rgb="FF000000"/>
            <rFont val="Calibri"/>
            <family val="2"/>
          </rPr>
          <t xml:space="preserve">All sales personnel whose selling efforts are mainly off the employer's premises.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42" authorId="0">
      <text>
        <r>
          <rPr>
            <b/>
            <sz val="10"/>
            <color rgb="FF000000"/>
            <rFont val="Calibri"/>
            <family val="2"/>
          </rPr>
          <t>Inside Sales</t>
        </r>
        <r>
          <rPr>
            <sz val="10"/>
            <color rgb="FF000000"/>
            <rFont val="Calibri"/>
            <family val="2"/>
          </rPr>
          <t xml:space="preserve">
</t>
        </r>
        <r>
          <rPr>
            <sz val="10"/>
            <color rgb="FF000000"/>
            <rFont val="Calibri"/>
            <family val="2"/>
          </rPr>
          <t xml:space="preserve">All sales personnel whose selling efforts are mainly at a desk on the employer's premises.  This includes telemarketers, estimators and quotation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3" authorId="0">
      <text>
        <r>
          <rPr>
            <b/>
            <sz val="10"/>
            <color rgb="FF000000"/>
            <rFont val="Calibri"/>
            <family val="2"/>
          </rPr>
          <t>Purchasing Department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4" authorId="0">
      <text>
        <r>
          <rPr>
            <b/>
            <sz val="10"/>
            <color rgb="FF000000"/>
            <rFont val="Calibri"/>
            <family val="2"/>
          </rPr>
          <t>Credit Department</t>
        </r>
        <r>
          <rPr>
            <sz val="10"/>
            <color rgb="FF000000"/>
            <rFont val="Calibri"/>
            <family val="2"/>
          </rPr>
          <t xml:space="preserve">
</t>
        </r>
        <r>
          <rPr>
            <sz val="10"/>
            <color rgb="FF000000"/>
            <rFont val="Calibri"/>
            <family val="2"/>
          </rPr>
          <t xml:space="preserve">All credit managers, collection personnel and others engaged in the credit and collection process.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55" authorId="0">
      <text>
        <r>
          <rPr>
            <b/>
            <sz val="10"/>
            <color rgb="FF000000"/>
            <rFont val="Calibri"/>
            <family val="2"/>
          </rPr>
          <t>Accounting</t>
        </r>
        <r>
          <rPr>
            <sz val="10"/>
            <color rgb="FF000000"/>
            <rFont val="Calibri"/>
            <family val="2"/>
          </rPr>
          <t xml:space="preserve">
</t>
        </r>
        <r>
          <rPr>
            <sz val="10"/>
            <color rgb="FF000000"/>
            <rFont val="Calibri"/>
            <family val="2"/>
          </rPr>
          <t xml:space="preserve">All non-clerical accountants and other individuals engaged in billing and finance.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6" authorId="0">
      <text>
        <r>
          <rPr>
            <b/>
            <sz val="10"/>
            <color rgb="FF000000"/>
            <rFont val="Calibri"/>
            <family val="2"/>
          </rPr>
          <t>Branch Management</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7" authorId="0">
      <text>
        <r>
          <rPr>
            <b/>
            <sz val="10"/>
            <color rgb="FF000000"/>
            <rFont val="Calibri"/>
            <family val="2"/>
          </rPr>
          <t>Warehouse</t>
        </r>
        <r>
          <rPr>
            <sz val="10"/>
            <color rgb="FF000000"/>
            <rFont val="Calibri"/>
            <family val="2"/>
          </rPr>
          <t xml:space="preserve">
</t>
        </r>
        <r>
          <rPr>
            <sz val="10"/>
            <color rgb="FF000000"/>
            <rFont val="Calibri"/>
            <family val="2"/>
          </rPr>
          <t xml:space="preserve">All employees engaged in the receiving and storing of goods in the warehouse including dispatchers and order filling personnel.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68" authorId="0">
      <text>
        <r>
          <rPr>
            <b/>
            <sz val="10"/>
            <color rgb="FF000000"/>
            <rFont val="Calibri"/>
            <family val="2"/>
          </rPr>
          <t>Delivery Drivers</t>
        </r>
        <r>
          <rPr>
            <sz val="10"/>
            <color rgb="FF000000"/>
            <rFont val="Calibri"/>
            <family val="2"/>
          </rPr>
          <t xml:space="preserve">
</t>
        </r>
        <r>
          <rPr>
            <sz val="10"/>
            <color rgb="FF000000"/>
            <rFont val="Calibri"/>
            <family val="2"/>
          </rPr>
          <t xml:space="preserve">All employees engaged in delivery of merchandise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79" authorId="0">
      <text>
        <r>
          <rPr>
            <b/>
            <sz val="10"/>
            <color rgb="FF000000"/>
            <rFont val="Calibri"/>
            <family val="2"/>
          </rPr>
          <t>Customer Training and Technical Support</t>
        </r>
        <r>
          <rPr>
            <sz val="10"/>
            <color rgb="FF000000"/>
            <rFont val="Calibri"/>
            <family val="2"/>
          </rPr>
          <t xml:space="preserve">
</t>
        </r>
        <r>
          <rPr>
            <sz val="10"/>
            <color rgb="FF000000"/>
            <rFont val="Calibri"/>
            <family val="2"/>
          </rPr>
          <t xml:space="preserve">All employees whose primary role is providing technical support, advice, and training to customers.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0" authorId="0">
      <text>
        <r>
          <rPr>
            <b/>
            <sz val="10"/>
            <color rgb="FF000000"/>
            <rFont val="Calibri"/>
            <family val="2"/>
          </rPr>
          <t>Information Technology</t>
        </r>
        <r>
          <rPr>
            <sz val="10"/>
            <color rgb="FF000000"/>
            <rFont val="Calibri"/>
            <family val="2"/>
          </rPr>
          <t xml:space="preserve">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1" authorId="0">
      <text>
        <r>
          <rPr>
            <b/>
            <sz val="10"/>
            <color rgb="FF000000"/>
            <rFont val="Calibri"/>
            <family val="2"/>
          </rPr>
          <t>All Other Employees</t>
        </r>
        <r>
          <rPr>
            <sz val="10"/>
            <color rgb="FF000000"/>
            <rFont val="Calibri"/>
            <family val="2"/>
          </rPr>
          <t xml:space="preserve">
</t>
        </r>
        <r>
          <rPr>
            <sz val="10"/>
            <color rgb="FF000000"/>
            <rFont val="Calibri"/>
            <family val="2"/>
          </rPr>
          <t xml:space="preserve">Include Warranty Managers.
</t>
        </r>
        <r>
          <rPr>
            <sz val="10"/>
            <color rgb="FF000000"/>
            <rFont val="Calibri"/>
            <family val="2"/>
          </rPr>
          <t xml:space="preserve">
</t>
        </r>
        <r>
          <rPr>
            <i/>
            <sz val="10"/>
            <color rgb="FF000000"/>
            <rFont val="Calibri"/>
            <family val="2"/>
          </rPr>
          <t>• cannot be blank</t>
        </r>
        <r>
          <rPr>
            <sz val="10"/>
            <color rgb="FF000000"/>
            <rFont val="Calibri"/>
            <family val="2"/>
          </rPr>
          <t xml:space="preserve">
</t>
        </r>
        <r>
          <rPr>
            <i/>
            <sz val="10"/>
            <color rgb="FF000000"/>
            <rFont val="Calibri"/>
            <family val="2"/>
          </rPr>
          <t>• number can have at most 1 decimal place(s)</t>
        </r>
        <r>
          <rPr>
            <sz val="10"/>
            <color rgb="FF000000"/>
            <rFont val="Calibri"/>
            <family val="2"/>
          </rPr>
          <t xml:space="preserve">
</t>
        </r>
        <r>
          <rPr>
            <i/>
            <sz val="10"/>
            <color rgb="FF000000"/>
            <rFont val="Calibri"/>
            <family val="2"/>
          </rPr>
          <t>• must be &gt;= 0</t>
        </r>
      </text>
    </comment>
    <comment ref="I189" authorId="0">
      <text>
        <r>
          <rPr>
            <b/>
            <sz val="10"/>
            <color rgb="FF000000"/>
            <rFont val="Calibri"/>
            <family val="2"/>
          </rPr>
          <t>Total Number of FTEs</t>
        </r>
        <r>
          <rPr>
            <sz val="10"/>
            <color rgb="FF000000"/>
            <rFont val="Calibri"/>
            <family val="2"/>
          </rPr>
          <t xml:space="preserve">
</t>
        </r>
        <r>
          <rPr>
            <sz val="10"/>
            <color rgb="FF000000"/>
            <rFont val="Calibri"/>
            <family val="2"/>
          </rPr>
          <t xml:space="preserve">
</t>
        </r>
        <r>
          <rPr>
            <i/>
            <sz val="10"/>
            <color rgb="FF000000"/>
            <rFont val="Calibri"/>
            <family val="2"/>
          </rPr>
          <t>• must be &gt; 5</t>
        </r>
      </text>
    </comment>
  </commentList>
</comments>
</file>

<file path=xl/sharedStrings.xml><?xml version="1.0" encoding="utf-8"?>
<sst xmlns="http://schemas.openxmlformats.org/spreadsheetml/2006/main" count="943" uniqueCount="388">
  <si>
    <t>FY: 2020</t>
  </si>
  <si>
    <t>bloftus@hardinet.org or 614.345.9139</t>
  </si>
  <si>
    <t>e-mail or call Brian Loftus</t>
  </si>
  <si>
    <t>Questions?</t>
  </si>
  <si>
    <t>Ready to Submit This Survey?</t>
  </si>
  <si>
    <t>Need to Access Prior Surveys and Notes?</t>
  </si>
  <si>
    <t>If your books are in another currency and you have questions on how to convert to USD, please reach out to Brian Loftus (contact information below).</t>
  </si>
  <si>
    <t>Please report financial metrics using the United States Dollar (USD).</t>
  </si>
  <si>
    <t>What Currency Should I Report?</t>
  </si>
  <si>
    <t>If you need more time to close your Fiscal Year 2021 books before the survey deadline, please reach out to support@cometrics.com and we'll make sure we update the benchmarks with your data after you close your books.</t>
  </si>
  <si>
    <t>If your Fiscal Year ends between between January and May, use Fiscal Year 2021 data to populate the 2020 survey.</t>
  </si>
  <si>
    <t>If your Fiscal Year ends between June and December, use Fiscal Year 2020 data to populate the 2020 survey.</t>
  </si>
  <si>
    <t>What Time Period Should I Report?</t>
  </si>
  <si>
    <t>Use the 'Data Checks' tab to confirm entries before submitting.</t>
  </si>
  <si>
    <t>Fill out the 'Balance Sheet', 'Income Statement', and 'Operations' tabs.</t>
  </si>
  <si>
    <t>Click 'Enable Editing' at the top of your screen.</t>
  </si>
  <si>
    <t>Directions</t>
  </si>
  <si>
    <t>Copyright (c) 2024 CoMetrics. All rights reserved._x000d_
This file is for authorized users only.  All data is private and confidential to the submitter and is only viewable by the submitter's authorized parties.</t>
  </si>
  <si>
    <t>2020-v009</t>
  </si>
  <si>
    <t>Click on the 'Income Statement' tab.</t>
  </si>
  <si>
    <t>Review and save your work!</t>
  </si>
  <si>
    <t>Confirm that Assets - Liabilities + Equity = 0.</t>
  </si>
  <si>
    <t>Inventory LIFO Adjustment</t>
  </si>
  <si>
    <t>Next Steps...</t>
  </si>
  <si>
    <t>Current (YTD) Earnings LIFO Adjustment</t>
  </si>
  <si>
    <t>Net Worth or Owner Equity Before Current (YTD) Earnings LIFO Adjustment</t>
  </si>
  <si>
    <t>Change in LIFO Reserve</t>
  </si>
  <si>
    <t>Untaxed Rate For LIFO Adjustment Decimal</t>
  </si>
  <si>
    <t>#</t>
  </si>
  <si>
    <t>Tax Rate For LIFO Adjustment Decimal</t>
  </si>
  <si>
    <t>Assets - Liabilities + Equity</t>
  </si>
  <si>
    <t>Total Liabilities and Net Worth</t>
  </si>
  <si>
    <t>yes</t>
  </si>
  <si>
    <t>no</t>
  </si>
  <si>
    <t>Total Net Worth</t>
  </si>
  <si>
    <t>Current (YTD) Earnings</t>
  </si>
  <si>
    <t>Net Worth or Owner Equity Before Current (YTD) Earnings</t>
  </si>
  <si>
    <t>Net Worth</t>
  </si>
  <si>
    <t>Total Liabilities</t>
  </si>
  <si>
    <t>Total Long Term Liabilities</t>
  </si>
  <si>
    <t>Not sure how best to answer each question? Hover over the field for more detail ---&gt;</t>
  </si>
  <si>
    <t>Loans From Stockholders</t>
  </si>
  <si>
    <t>Debt and Other Long Term Liabilities (due in more than 1 year)</t>
  </si>
  <si>
    <t>Long Term Liabilities</t>
  </si>
  <si>
    <t>Total Current Liabilities</t>
  </si>
  <si>
    <t>Other Current Liabilities</t>
  </si>
  <si>
    <t>Notes Payable (due within 12 months + current portion LTD)</t>
  </si>
  <si>
    <t>Trade Accounts Payable</t>
  </si>
  <si>
    <t>Current Liabilities</t>
  </si>
  <si>
    <t>Liabilities And Net Worth</t>
  </si>
  <si>
    <t>Total Assets</t>
  </si>
  <si>
    <t>Total Fixed and Non-Current Assets</t>
  </si>
  <si>
    <t>Fixed and Non-Current Assets</t>
  </si>
  <si>
    <t>Total Current Assets</t>
  </si>
  <si>
    <t>Other Current Assets</t>
  </si>
  <si>
    <t>Inventory (including LIFO Reserve if applicable)</t>
  </si>
  <si>
    <t>Accounts Receivable</t>
  </si>
  <si>
    <t>Cash and Marketable Securities</t>
  </si>
  <si>
    <t>Current Assets</t>
  </si>
  <si>
    <t>Assets</t>
  </si>
  <si>
    <t>Average Accounts Payable (sum of 12 month-end balances ÷ 12)</t>
  </si>
  <si>
    <t>Average Accounts Receivable (sum of 12 month-end balances ÷ 12)</t>
  </si>
  <si>
    <t>Average FIFO or Average Inventory (sum of 12 month-end or average monthly balances ÷ 12)</t>
  </si>
  <si>
    <t>Dead Stock in Inventory at Year End</t>
  </si>
  <si>
    <t>Other</t>
  </si>
  <si>
    <t>2019 (prior year) Ending Balance LIFO Reserve</t>
  </si>
  <si>
    <t>$</t>
  </si>
  <si>
    <t>2020 Ending Balance LIFO Reserve</t>
  </si>
  <si>
    <t>PLEASE DOUBLE CHECK YOUR LIFO RESERVE BALANCE. IN MOST CASES IT WILL BE NEGATIVE.</t>
  </si>
  <si>
    <t>Report these numbers as they appear on the balance sheet_x000d_
(e.g. may be negative if purchase prices have generally increased since electing LIFO).</t>
  </si>
  <si>
    <t>%</t>
  </si>
  <si>
    <t>2020 Corporate Tax Rate (including state, federal, and local taxes)</t>
  </si>
  <si>
    <t>If Yes...</t>
  </si>
  <si>
    <t>Are You Reporting LIFO Ending Balances in This Survey?</t>
  </si>
  <si>
    <t>LIFO-to-FIFO Conversion</t>
  </si>
  <si>
    <t>All web reports will adjust LIFO data to FIFO to facilitate comparison with other companies.</t>
  </si>
  <si>
    <t>If you report LIFO values, we will adjust inventory/earnings/COGS/taxes to FIFO using the reported 'Ending Balance LIFO Reserve' values.</t>
  </si>
  <si>
    <t>You may report inventory using LIFO or FIFO.</t>
  </si>
  <si>
    <t>General</t>
  </si>
  <si>
    <t>&lt;--- data check</t>
  </si>
  <si>
    <t>put mouse here</t>
  </si>
  <si>
    <t/>
  </si>
  <si>
    <t>Reasonable estimates are encouraged when data is not available.</t>
  </si>
  <si>
    <t>Most fields are required.  Do not leave these fields empty; enter 0 if nothing to report.</t>
  </si>
  <si>
    <t>your notes</t>
  </si>
  <si>
    <t>Click on the 'Operations' tab.</t>
  </si>
  <si>
    <t>Confirm that Current (YTD) Earnings = Net Profit.</t>
  </si>
  <si>
    <t>Income Tax LIFO Adjustment</t>
  </si>
  <si>
    <t>Warehouse Cost of Goods LIFO Adjustment</t>
  </si>
  <si>
    <t>Current (YTD) Earnings = Net Profit</t>
  </si>
  <si>
    <t>Current (YTD) Earnings From Balance Sheet</t>
  </si>
  <si>
    <t>Net Profit</t>
  </si>
  <si>
    <t>Total Non-Operating Income/Expense</t>
  </si>
  <si>
    <t>Total Non-Operating Expense</t>
  </si>
  <si>
    <t>Income Taxes (local, state, federal)</t>
  </si>
  <si>
    <t>Other Non-Operating Expense</t>
  </si>
  <si>
    <t>Interest Expense (excluding mortgage interest and vehicle)</t>
  </si>
  <si>
    <t>Use negative numbers, as is typical in most financial statements_x000d_
(e.g. report ten dollars of Interest Expense as "-10").</t>
  </si>
  <si>
    <t>Non-Operating Expense</t>
  </si>
  <si>
    <t>Other Income (interest income, gain on sale of assets, etc.)</t>
  </si>
  <si>
    <t>Non-Operating Income</t>
  </si>
  <si>
    <t>Non-Operating Income And Expense</t>
  </si>
  <si>
    <t>Operating Profit</t>
  </si>
  <si>
    <t>Total Operating Expense</t>
  </si>
  <si>
    <t>Total Operations Expense</t>
  </si>
  <si>
    <t>Other Operations Expenses</t>
  </si>
  <si>
    <t>Personal Property Taxes and Licenses (excluding building property tax)</t>
  </si>
  <si>
    <t>Insurance (business owners', liability, fire, flood; excluding building and vehicle insurance)</t>
  </si>
  <si>
    <t>Employee Training (in-person and distance-learning programs)</t>
  </si>
  <si>
    <t>Data Processing and Technology</t>
  </si>
  <si>
    <t>Depreciation and Amortization (excluding building, leasehold amortization, and vehicle)</t>
  </si>
  <si>
    <t>Non-Sales Vehicle Expense (including fuel, repairs &amp; maintenance, depreciation, insurance, interest, leasing)</t>
  </si>
  <si>
    <t>Bad Debt Expense</t>
  </si>
  <si>
    <t>Collections (debt collection, bank charges, credit card fees)</t>
  </si>
  <si>
    <t>Sales Expense (including advertising, marketing, promotion, travel &amp; transportation)</t>
  </si>
  <si>
    <t>Operations Expense</t>
  </si>
  <si>
    <t>Total Occupancy Expense</t>
  </si>
  <si>
    <t>Real Estate Rent/Ownership (including rent/lease, mortgage interest, depreciation, leasehold amortization, insurance, property taxes)</t>
  </si>
  <si>
    <t>Building Repairs and Maintenance</t>
  </si>
  <si>
    <t>Telephone and Network</t>
  </si>
  <si>
    <t>Utilities (electricity, gas, oil, water, sewer, security)</t>
  </si>
  <si>
    <t>Occupancy Expense</t>
  </si>
  <si>
    <t>Total Personnel Expense</t>
  </si>
  <si>
    <t>Total Other Personnel Expense</t>
  </si>
  <si>
    <t>Other Employees' Discretionary Bonuses</t>
  </si>
  <si>
    <t>Owners' and Officers' Discretionary Bonuses</t>
  </si>
  <si>
    <t>Other Personnel Expense (fringes, pensions, profit sharing, employee engagement expense, recruiting and hiring, etc.)</t>
  </si>
  <si>
    <t>Group Insurance (medical, hospitalization, etc.)</t>
  </si>
  <si>
    <t>Payroll Taxes (FICA, worker's comp and unemployment)</t>
  </si>
  <si>
    <t>Other Personnel Expense</t>
  </si>
  <si>
    <t>Total Wages</t>
  </si>
  <si>
    <t>All Other Wage</t>
  </si>
  <si>
    <t>Customer Training and Technical Support Wage</t>
  </si>
  <si>
    <t>IT Dept. Wage</t>
  </si>
  <si>
    <t>Purchasing Dept. Wage</t>
  </si>
  <si>
    <t>Credit Dept. Wage</t>
  </si>
  <si>
    <t>Accounting Wage</t>
  </si>
  <si>
    <t>Delivery Wage</t>
  </si>
  <si>
    <t>Warehouse Wage</t>
  </si>
  <si>
    <t>Branch Managers Wage</t>
  </si>
  <si>
    <t>Inside Sales Wage (including counter sales)</t>
  </si>
  <si>
    <t>Outside Sales Wage</t>
  </si>
  <si>
    <t>Sales Exec Wage</t>
  </si>
  <si>
    <t>Executive Wage (officers, owners, key managers)</t>
  </si>
  <si>
    <t>EXCLUDE payroll taxes, benefits, and discretionary bonus (put them in the Other Personnel Expense section).</t>
  </si>
  <si>
    <t>Include salaries, wages, commissions, and non-discretionary bonus (based on pre-determined criteria).</t>
  </si>
  <si>
    <t>Wages</t>
  </si>
  <si>
    <t>Personnel Expense</t>
  </si>
  <si>
    <t>Gross Margin</t>
  </si>
  <si>
    <t>Net Gross Profit (total sales - net cost of goods)</t>
  </si>
  <si>
    <t>Net Cost of Goods (gross cost of goods sold + total discounts and rebates)</t>
  </si>
  <si>
    <t>Total Discounts and Rebates</t>
  </si>
  <si>
    <t>Vendor and Buy Group Rebates</t>
  </si>
  <si>
    <t>Vendor Discounts</t>
  </si>
  <si>
    <t>Use negative numbers to report 'Vendor Discounts' and 'Vendor and Buy Group Rebates'</t>
  </si>
  <si>
    <t>Discounts and Rebates</t>
  </si>
  <si>
    <t>Gross Cost of Goods Sold</t>
  </si>
  <si>
    <t>Drop Shipment</t>
  </si>
  <si>
    <t>Special Order</t>
  </si>
  <si>
    <t>Warehouse</t>
  </si>
  <si>
    <t xml:space="preserve">    Had special order sales?  Special order COGS cannot be $0.</t>
  </si>
  <si>
    <t xml:space="preserve">    No special order sales?  Special order COGS must be $0.</t>
  </si>
  <si>
    <t>Must be consistent with the corresponding Sales categories above.  For example:</t>
  </si>
  <si>
    <t>Gross Cost of Goods Sold by Path (including freight-in)</t>
  </si>
  <si>
    <t>Total Sales (less returns, discounts, and allowances)</t>
  </si>
  <si>
    <t>Other Sales</t>
  </si>
  <si>
    <t>Drop Shipment (shipped by supplier directly to the customer)</t>
  </si>
  <si>
    <t>Special Order (arrive at your dock before delivery to customer)</t>
  </si>
  <si>
    <t>Warehouse Sales (stocked items)</t>
  </si>
  <si>
    <t>Sales by Path (less returns, discounts and allowances)</t>
  </si>
  <si>
    <t>Click on the 'Data Checks' tab.</t>
  </si>
  <si>
    <t>Total Number of FTEs</t>
  </si>
  <si>
    <t>Other Support Total</t>
  </si>
  <si>
    <t>All Other Employees</t>
  </si>
  <si>
    <t>Information Technology</t>
  </si>
  <si>
    <t>Customer Training and Technical Support</t>
  </si>
  <si>
    <t>Other Support</t>
  </si>
  <si>
    <t>Branch Operations Total</t>
  </si>
  <si>
    <t>Delivery Drivers</t>
  </si>
  <si>
    <t>Branch Management</t>
  </si>
  <si>
    <t>Branch Operations</t>
  </si>
  <si>
    <t>Finance Total</t>
  </si>
  <si>
    <t>Accounting</t>
  </si>
  <si>
    <t>Credit Department</t>
  </si>
  <si>
    <t>Purchasing Department</t>
  </si>
  <si>
    <t>Finance</t>
  </si>
  <si>
    <t>Sales Total</t>
  </si>
  <si>
    <t>Inside Sales (including counter sales)</t>
  </si>
  <si>
    <t>Outside Sales</t>
  </si>
  <si>
    <t>Sales Management</t>
  </si>
  <si>
    <t>Sales</t>
  </si>
  <si>
    <t>FTE</t>
  </si>
  <si>
    <t>Executive Management (officers, owners, key managers)</t>
  </si>
  <si>
    <t>Executive Management</t>
  </si>
  <si>
    <t>To report fractional FTEs convert part-time to FTEs using 2080 annual hours (e.g. an employee working 20 hours a week all year = 0.5 FTE).</t>
  </si>
  <si>
    <t>Staffing</t>
  </si>
  <si>
    <t>Number of Branches</t>
  </si>
  <si>
    <t>Average Number of Shipments Received Monthly</t>
  </si>
  <si>
    <t>Average Number of Lines Per Order</t>
  </si>
  <si>
    <t>Average Number of Orders Shipped Monthly</t>
  </si>
  <si>
    <t>Number of Stock Keeping Units (SKUs) Carried</t>
  </si>
  <si>
    <t>Number of Active Customers With 6 or More Orders Annually</t>
  </si>
  <si>
    <t>Operating Statistics</t>
  </si>
  <si>
    <t>[Total Sales by Path] - [Total Sales by Product Category]</t>
  </si>
  <si>
    <t>Total Sales by Product Category</t>
  </si>
  <si>
    <t>All Other Products</t>
  </si>
  <si>
    <t>Plumbing and Hydronics (bathroom fixtures, sanitary piping, boilers,_x000d_
hydronic supplies, etc.)</t>
  </si>
  <si>
    <t>Heating and AC Supplies (registers, grilles, diffusers, vent pipes, humidifiers, etc.)</t>
  </si>
  <si>
    <t>HVAC Unitary Equipment (incl. geothermal and gas-fired)</t>
  </si>
  <si>
    <t>HVAC Light Commercial Equipment</t>
  </si>
  <si>
    <t>Percent of Sales Paid With Cash, Check, or COD</t>
  </si>
  <si>
    <t>Sheet Metal and Sheet Metal Items (including flat sheets, rain goods, etc.)</t>
  </si>
  <si>
    <t>Refrigeration Equipment</t>
  </si>
  <si>
    <t>Refrigerants and Refrigeration Accessories</t>
  </si>
  <si>
    <t>Controls and Control Parts</t>
  </si>
  <si>
    <t>Total Sales by Path</t>
  </si>
  <si>
    <t>Sales By Product Category (less returns, discounts and allowances)</t>
  </si>
  <si>
    <t>The Commonwealth Group</t>
  </si>
  <si>
    <t>NIDC</t>
  </si>
  <si>
    <t>Key Wholesaler Group</t>
  </si>
  <si>
    <t>Johnstone Supply</t>
  </si>
  <si>
    <t>Heritage Distribution Holdings</t>
  </si>
  <si>
    <t>Controls Group North America</t>
  </si>
  <si>
    <t>BLUE HAWK (BH)</t>
  </si>
  <si>
    <t>Affiliated Distributors (AD)</t>
  </si>
  <si>
    <t>Are You Affiliated With...?</t>
  </si>
  <si>
    <t>Group Affiliation</t>
  </si>
  <si>
    <t>Online Sales</t>
  </si>
  <si>
    <t>Percent of Sales Transacted Online</t>
  </si>
  <si>
    <t>Credit Sales</t>
  </si>
  <si>
    <t>Cash Sales</t>
  </si>
  <si>
    <t>Percent of Purchases Made Through All Buying Groups</t>
  </si>
  <si>
    <t>reporting period</t>
  </si>
  <si>
    <t>CustomerMetricId</t>
  </si>
  <si>
    <t>CustomerMetricDescription</t>
  </si>
  <si>
    <t>Value</t>
  </si>
  <si>
    <t>ValidationStatus</t>
  </si>
  <si>
    <t>SummationMethodology</t>
  </si>
  <si>
    <t>RowKind</t>
  </si>
  <si>
    <t>ValidationMessage</t>
  </si>
  <si>
    <t>Notes</t>
  </si>
  <si>
    <t>130810</t>
  </si>
  <si>
    <t>Calculated</t>
  </si>
  <si>
    <t>130811</t>
  </si>
  <si>
    <t>130780</t>
  </si>
  <si>
    <t>CombinedActivitySinceInception</t>
  </si>
  <si>
    <t>130781</t>
  </si>
  <si>
    <t>130782</t>
  </si>
  <si>
    <t>130812</t>
  </si>
  <si>
    <t>130813</t>
  </si>
  <si>
    <t>130814</t>
  </si>
  <si>
    <t xml:space="preserve"> I am in this worksheet because Field.Formula references field is-reporting-lifo who's ParseableDataKind is Operational.</t>
  </si>
  <si>
    <t>130815</t>
  </si>
  <si>
    <t>130816</t>
  </si>
  <si>
    <t>130807</t>
  </si>
  <si>
    <t>ContributionForReportingPeriod</t>
  </si>
  <si>
    <t>130808</t>
  </si>
  <si>
    <t>130817</t>
  </si>
  <si>
    <t>130809</t>
  </si>
  <si>
    <t>130819</t>
  </si>
  <si>
    <t>130820</t>
  </si>
  <si>
    <t>130821</t>
  </si>
  <si>
    <t>10006000</t>
  </si>
  <si>
    <t>130823</t>
  </si>
  <si>
    <t>130824</t>
  </si>
  <si>
    <t>130825</t>
  </si>
  <si>
    <t>131587</t>
  </si>
  <si>
    <t>130798</t>
  </si>
  <si>
    <t>130799</t>
  </si>
  <si>
    <t>130800</t>
  </si>
  <si>
    <t>130801</t>
  </si>
  <si>
    <t>130802</t>
  </si>
  <si>
    <t>130803</t>
  </si>
  <si>
    <t>130804</t>
  </si>
  <si>
    <t>130805</t>
  </si>
  <si>
    <t>130806</t>
  </si>
  <si>
    <t xml:space="preserve"> I am in this worksheet because Field.Formula references field dollars-sales-product-controls-and-control-parts who's ParseableDataKind is Operational.</t>
  </si>
  <si>
    <t>130827</t>
  </si>
  <si>
    <t>130783</t>
  </si>
  <si>
    <t>130828</t>
  </si>
  <si>
    <t>130829</t>
  </si>
  <si>
    <t>130830</t>
  </si>
  <si>
    <t>131586</t>
  </si>
  <si>
    <t>130785</t>
  </si>
  <si>
    <t>130787</t>
  </si>
  <si>
    <t>130788</t>
  </si>
  <si>
    <t>130789</t>
  </si>
  <si>
    <t xml:space="preserve"> I am in this worksheet because Field.Formula references field number-of-staff-sales-management who's ParseableDataKind is Operational.</t>
  </si>
  <si>
    <t>130790</t>
  </si>
  <si>
    <t>130791</t>
  </si>
  <si>
    <t>130794</t>
  </si>
  <si>
    <t xml:space="preserve"> I am in this worksheet because Field.Formula references field number-of-staff-purchasing-department who's ParseableDataKind is Operational.</t>
  </si>
  <si>
    <t>130786</t>
  </si>
  <si>
    <t>130793</t>
  </si>
  <si>
    <t>130795</t>
  </si>
  <si>
    <t xml:space="preserve"> I am in this worksheet because Field.Formula references field number-of-staff-branch-management who's ParseableDataKind is Operational.</t>
  </si>
  <si>
    <t>130832</t>
  </si>
  <si>
    <t>130792</t>
  </si>
  <si>
    <t>130796</t>
  </si>
  <si>
    <t xml:space="preserve"> I am in this worksheet because Field.Formula references field number-of-staff-customer-training-and-technical-support who's ParseableDataKind is Operational.</t>
  </si>
  <si>
    <t xml:space="preserve"> I am in this worksheet because Field.Formula references field number-of-staff-executive-management who's ParseableDataKind is Operational.</t>
  </si>
  <si>
    <t>130699</t>
  </si>
  <si>
    <t>130700</t>
  </si>
  <si>
    <t>130702</t>
  </si>
  <si>
    <t>130704</t>
  </si>
  <si>
    <t xml:space="preserve"> I am in this worksheet because Field.Formula references field cash-and-marketable-securities who's ParseableDataKind is Financial.</t>
  </si>
  <si>
    <t>130705</t>
  </si>
  <si>
    <t xml:space="preserve"> I am in this worksheet because Field.Formula references field fixed-and-non-current-assets who's ParseableDataKind is Financial.</t>
  </si>
  <si>
    <t>130709</t>
  </si>
  <si>
    <t>130710</t>
  </si>
  <si>
    <t>130711</t>
  </si>
  <si>
    <t xml:space="preserve"> I am in this worksheet because Field.Formula references field trade-accounts-payable who's ParseableDataKind is Financial.</t>
  </si>
  <si>
    <t>130713</t>
  </si>
  <si>
    <t>130714</t>
  </si>
  <si>
    <t xml:space="preserve"> I am in this worksheet because Field.Formula references field debt-and-other-long-term-liabilities who's ParseableDataKind is Financial.</t>
  </si>
  <si>
    <t xml:space="preserve"> I am in this worksheet because none of the strategies for choosing a ParseableDataKind worked and so one (which is used by some other field) was chosen arbitrarily.</t>
  </si>
  <si>
    <t>130717</t>
  </si>
  <si>
    <t>130720</t>
  </si>
  <si>
    <t xml:space="preserve"> I am in this worksheet because Field.Formula references field net-worth-or-owner-equity-before-current-earnings who's ParseableDataKind is Financial.</t>
  </si>
  <si>
    <t>130703</t>
  </si>
  <si>
    <t>130718</t>
  </si>
  <si>
    <t>130721</t>
  </si>
  <si>
    <t>130724</t>
  </si>
  <si>
    <t>130725</t>
  </si>
  <si>
    <t>130726</t>
  </si>
  <si>
    <t>130727</t>
  </si>
  <si>
    <t xml:space="preserve"> I am in this worksheet because Field.Formula references field warehouse-sales who's ParseableDataKind is Financial.</t>
  </si>
  <si>
    <t>130730</t>
  </si>
  <si>
    <t>130731</t>
  </si>
  <si>
    <t>130733</t>
  </si>
  <si>
    <t>130734</t>
  </si>
  <si>
    <t xml:space="preserve"> I am in this worksheet because Field.Formula references field warehouse-cost-of-goods who's ParseableDataKind is Financial.</t>
  </si>
  <si>
    <t>131534</t>
  </si>
  <si>
    <t>131535</t>
  </si>
  <si>
    <t xml:space="preserve"> I am in this worksheet because Field.Formula references field vendor-discounts who's ParseableDataKind is Financial.</t>
  </si>
  <si>
    <t>130738</t>
  </si>
  <si>
    <t>130739</t>
  </si>
  <si>
    <t>130740</t>
  </si>
  <si>
    <t>130741</t>
  </si>
  <si>
    <t>130742</t>
  </si>
  <si>
    <t>130743</t>
  </si>
  <si>
    <t>130744</t>
  </si>
  <si>
    <t>130745</t>
  </si>
  <si>
    <t>130746</t>
  </si>
  <si>
    <t>130747</t>
  </si>
  <si>
    <t>130748</t>
  </si>
  <si>
    <t>130831</t>
  </si>
  <si>
    <t>130749</t>
  </si>
  <si>
    <t xml:space="preserve"> I am in this worksheet because Field.Formula references field executive-wage-expense who's ParseableDataKind is Financial.</t>
  </si>
  <si>
    <t>130751</t>
  </si>
  <si>
    <t>130752</t>
  </si>
  <si>
    <t>130753</t>
  </si>
  <si>
    <t>130754</t>
  </si>
  <si>
    <t>130755</t>
  </si>
  <si>
    <t xml:space="preserve"> I am in this worksheet because Field.Formula references field payroll-tax-expense who's ParseableDataKind is Financial.</t>
  </si>
  <si>
    <t>130757</t>
  </si>
  <si>
    <t>130758</t>
  </si>
  <si>
    <t>130759</t>
  </si>
  <si>
    <t>130760</t>
  </si>
  <si>
    <t xml:space="preserve"> I am in this worksheet because Field.Formula references field utilities-expense who's ParseableDataKind is Financial.</t>
  </si>
  <si>
    <t>130762</t>
  </si>
  <si>
    <t>130763</t>
  </si>
  <si>
    <t>130764</t>
  </si>
  <si>
    <t>130765</t>
  </si>
  <si>
    <t>130766</t>
  </si>
  <si>
    <t>130767</t>
  </si>
  <si>
    <t>130768</t>
  </si>
  <si>
    <t>130769</t>
  </si>
  <si>
    <t>130770</t>
  </si>
  <si>
    <t>130771</t>
  </si>
  <si>
    <t xml:space="preserve"> I am in this worksheet because Field.Formula references field sales-expense who's ParseableDataKind is Financial.</t>
  </si>
  <si>
    <t>130773</t>
  </si>
  <si>
    <t>130775</t>
  </si>
  <si>
    <t>130776</t>
  </si>
  <si>
    <t>130778</t>
  </si>
  <si>
    <t xml:space="preserve"> I am in this worksheet because Field.Formula references field interest-expense who's ParseableDataKind is Financial.</t>
  </si>
  <si>
    <t xml:space="preserve"> I am in this worksheet because Field.Formula references field other-income who's ParseableDataKind is Financial.</t>
  </si>
  <si>
    <t xml:space="preserve"> I am in this worksheet because Field.Formula references field current-ytd-earnings who's ParseableDataKind is Financial.</t>
  </si>
  <si>
    <t>130732</t>
  </si>
  <si>
    <t>130779</t>
  </si>
  <si>
    <t>DatasetTemplatePath</t>
  </si>
  <si>
    <t>survey/hardi-annual/2020-v009</t>
  </si>
  <si>
    <t>Operations</t>
  </si>
  <si>
    <t>Income Statement</t>
  </si>
  <si>
    <t>Balance Sheet</t>
  </si>
  <si>
    <t>Click on the hyperlinked question to resolve any failures.</t>
  </si>
  <si>
    <t>Before you submit this survey, please ensure that all data checks below "Pass."</t>
  </si>
  <si>
    <t>Save your work!</t>
  </si>
</sst>
</file>

<file path=xl/styles.xml><?xml version="1.0" encoding="utf-8"?>
<styleSheet xmlns="http://schemas.openxmlformats.org/spreadsheetml/2006/main">
  <numFmts count="4">
    <numFmt numFmtId="177" formatCode="#,##0.0"/>
    <numFmt numFmtId="178" formatCode="#,##0.00"/>
    <numFmt numFmtId="179" formatCode="#,##0.000"/>
    <numFmt numFmtId="180" formatCode=";;;"/>
  </numFmts>
  <fonts count="73">
    <font>
      <sz val="10"/>
      <color theme="1"/>
      <name val="Arial"/>
      <family val="2"/>
    </font>
    <font>
      <b/>
      <sz val="11"/>
      <color rgb="FFFFFFFF"/>
      <name val="Calibri"/>
      <family val="2"/>
    </font>
    <font>
      <sz val="10"/>
      <color rgb="FFD3D3D3"/>
      <name val="Consolas"/>
      <family val="2"/>
    </font>
    <font>
      <sz val="10"/>
      <color rgb="FFB22222"/>
      <name val="Consolas"/>
      <family val="2"/>
    </font>
    <font>
      <b/>
      <sz val="12"/>
      <color rgb="FF000000"/>
      <name val="Calibri"/>
      <family val="2"/>
    </font>
    <font>
      <b/>
      <sz val="12"/>
      <color rgb="FF6495ED"/>
      <name val="Consolas"/>
      <family val="2"/>
    </font>
    <font>
      <b/>
      <sz val="12"/>
      <color rgb="FF9370DB"/>
      <name val="Consolas"/>
      <family val="2"/>
    </font>
    <font>
      <b/>
      <u val="single"/>
      <sz val="12"/>
      <color rgb="FF0000FF"/>
      <name val="Calibri"/>
      <family val="2"/>
    </font>
    <font>
      <u val="single"/>
      <sz val="11"/>
      <color rgb="FF0000FF"/>
      <name val="Calibri"/>
      <family val="2"/>
    </font>
    <font>
      <b/>
      <i/>
      <sz val="11"/>
      <color rgb="FFFF8C00"/>
      <name val="Calibri"/>
      <family val="2"/>
    </font>
    <font>
      <b/>
      <sz val="11"/>
      <color rgb="FFFF0000"/>
      <name val="Calibri"/>
      <family val="2"/>
    </font>
    <font>
      <sz val="10"/>
      <color rgb="FF808000"/>
      <name val="Consolas"/>
      <family val="2"/>
    </font>
    <font>
      <sz val="10"/>
      <color rgb="FF6495ED"/>
      <name val="Consolas"/>
      <family val="2"/>
    </font>
    <font>
      <b/>
      <sz val="10"/>
      <color rgb="FFFF0000"/>
      <name val="Calibri"/>
      <family val="2"/>
    </font>
    <font>
      <b/>
      <sz val="10"/>
      <color rgb="FFFFFFFF"/>
      <name val="Arial"/>
      <family val="2"/>
    </font>
    <font>
      <sz val="16"/>
      <color rgb="FF000000"/>
      <name val="Arial"/>
      <family val="2"/>
    </font>
    <font>
      <b/>
      <sz val="12"/>
      <color theme="1"/>
      <name val="Arial"/>
      <family val="2"/>
    </font>
    <font>
      <b/>
      <u val="single"/>
      <sz val="12"/>
      <color rgb="FF0000FF"/>
      <name val="Arial"/>
      <family val="2"/>
    </font>
    <font>
      <u val="single"/>
      <sz val="10"/>
      <color rgb="FF0000FF"/>
      <name val="Arial"/>
      <family val="2"/>
    </font>
    <font>
      <b/>
      <i/>
      <sz val="10"/>
      <color rgb="FFFF8C00"/>
      <name val="Arial"/>
      <family val="2"/>
    </font>
    <font>
      <b/>
      <sz val="10"/>
      <color rgb="FFFF0000"/>
      <name val="Arial"/>
      <family val="2"/>
    </font>
    <font>
      <sz val="10"/>
      <color rgb="FF000000"/>
      <name val="Consolas"/>
      <family val="2"/>
    </font>
    <font>
      <b/>
      <i/>
      <sz val="11"/>
      <color rgb="FFFF0000"/>
      <name val="Calibri"/>
      <family val="2"/>
    </font>
    <font>
      <b/>
      <i/>
      <sz val="10"/>
      <color rgb="FFFF0000"/>
      <name val="Arial"/>
      <family val="2"/>
    </font>
    <font>
      <sz val="10"/>
      <color rgb="FF000000"/>
      <name val="Calibri"/>
      <family val="2"/>
    </font>
    <font>
      <b/>
      <i/>
      <sz val="10"/>
      <color rgb="FFFF8C00"/>
      <name val="Consolas"/>
      <family val="2"/>
    </font>
    <font>
      <b/>
      <sz val="10"/>
      <color rgb="FFFF0000"/>
      <name val="Consolas"/>
      <family val="2"/>
    </font>
    <font>
      <i/>
      <sz val="11"/>
      <color rgb="FF000000"/>
      <name val="Calibri"/>
      <family val="2"/>
    </font>
    <font>
      <sz val="10"/>
      <color rgb="FF9ACD32"/>
      <name val="Consolas"/>
      <family val="2"/>
    </font>
    <font>
      <b/>
      <i/>
      <sz val="11"/>
      <color rgb="FF4682B4"/>
      <name val="Calibri"/>
      <family val="2"/>
    </font>
    <font>
      <sz val="10"/>
      <color rgb="FFFF00FF"/>
      <name val="Consolas"/>
      <family val="2"/>
    </font>
    <font>
      <sz val="10"/>
      <color rgb="FFC00000"/>
      <name val="Consolas"/>
      <family val="2"/>
    </font>
    <font>
      <sz val="11"/>
      <color rgb="FF000000"/>
      <name val="Calibri"/>
      <family val="2"/>
    </font>
    <font>
      <sz val="10"/>
      <color rgb="FF008000"/>
      <name val="Consolas"/>
      <family val="2"/>
    </font>
    <font>
      <sz val="14"/>
      <color rgb="FF000000"/>
      <name val="Calibri"/>
      <family val="2"/>
    </font>
    <font>
      <sz val="10"/>
      <color rgb="FFF08080"/>
      <name val="Consolas"/>
      <family val="2"/>
    </font>
    <font>
      <sz val="10"/>
      <color rgb="FF9370DB"/>
      <name val="Consolas"/>
      <family val="2"/>
    </font>
    <font>
      <sz val="10"/>
      <color rgb="FFDAA520"/>
      <name val="Consolas"/>
      <family val="2"/>
    </font>
    <font>
      <b/>
      <i/>
      <sz val="10"/>
      <color rgb="FF4682B4"/>
      <name val="Consolas"/>
      <family val="2"/>
    </font>
    <font>
      <sz val="10"/>
      <color rgb="FF48D1CC"/>
      <name val="Consolas"/>
      <family val="2"/>
    </font>
    <font>
      <sz val="10"/>
      <color rgb="FFD2691E"/>
      <name val="Consolas"/>
      <family val="2"/>
    </font>
    <font>
      <sz val="10"/>
      <color rgb="FFDCDCDC"/>
      <name val="Consolas"/>
      <family val="2"/>
    </font>
    <font>
      <sz val="10"/>
      <color rgb="FF00BFFF"/>
      <name val="Consolas"/>
      <family val="2"/>
    </font>
    <font>
      <sz val="10"/>
      <color rgb="FFFFA500"/>
      <name val="Consolas"/>
      <family val="2"/>
    </font>
    <font>
      <sz val="10"/>
      <color rgb="FFC71585"/>
      <name val="Consolas"/>
      <family val="2"/>
    </font>
    <font>
      <sz val="10"/>
      <color rgb="FF20B2AA"/>
      <name val="Consolas"/>
      <family val="2"/>
    </font>
    <font>
      <sz val="10"/>
      <color rgb="FF8FBC8B"/>
      <name val="Consolas"/>
      <family val="2"/>
    </font>
    <font>
      <sz val="10"/>
      <color rgb="FF4169E1"/>
      <name val="Consolas"/>
      <family val="2"/>
    </font>
    <font>
      <b/>
      <sz val="16"/>
      <color rgb="FF000000"/>
      <name val="Calibri"/>
      <family val="2"/>
    </font>
    <font>
      <sz val="10"/>
      <color rgb="FFD8BFD8"/>
      <name val="Consolas"/>
      <family val="2"/>
    </font>
    <font>
      <sz val="10"/>
      <color rgb="FF66CDAA"/>
      <name val="Consolas"/>
      <family val="2"/>
    </font>
    <font>
      <sz val="20"/>
      <color rgb="FF000000"/>
      <name val="Calibri"/>
      <family val="2"/>
    </font>
    <font>
      <sz val="10"/>
      <color rgb="FFDC143C"/>
      <name val="Consolas"/>
      <family val="2"/>
    </font>
    <font>
      <b/>
      <sz val="12"/>
      <color rgb="FF2E8B57"/>
      <name val="Calibri"/>
      <family val="2"/>
    </font>
    <font>
      <sz val="10"/>
      <color rgb="FFADD8E6"/>
      <name val="Consolas"/>
      <family val="2"/>
    </font>
    <font>
      <b/>
      <sz val="14"/>
      <color rgb="FFFF0000"/>
      <name val="Calibri"/>
      <family val="2"/>
    </font>
    <font>
      <i/>
      <sz val="10"/>
      <color theme="1"/>
      <name val="Arial"/>
      <family val="2"/>
    </font>
    <font>
      <b/>
      <i/>
      <sz val="10"/>
      <color rgb="FF4682B4"/>
      <name val="Arial"/>
      <family val="2"/>
    </font>
    <font>
      <sz val="10"/>
      <color theme="1"/>
      <name val="Consolas"/>
      <family val="2"/>
    </font>
    <font>
      <sz val="14"/>
      <color theme="1"/>
      <name val="Arial"/>
      <family val="2"/>
    </font>
    <font>
      <b/>
      <sz val="16"/>
      <color theme="1"/>
      <name val="Arial"/>
      <family val="2"/>
    </font>
    <font>
      <sz val="20"/>
      <color theme="1"/>
      <name val="Arial"/>
      <family val="2"/>
    </font>
    <font>
      <b/>
      <sz val="12"/>
      <color rgb="FF2E8B57"/>
      <name val="Arial"/>
      <family val="2"/>
    </font>
    <font>
      <sz val="10"/>
      <color rgb="FFFF6347"/>
      <name val="Consolas"/>
      <family val="2"/>
    </font>
    <font>
      <sz val="8"/>
      <color rgb="FF000000"/>
      <name val="Consolas"/>
      <family val="2"/>
    </font>
    <font>
      <sz val="16"/>
      <color rgb="FF000000"/>
      <name val="Calibri"/>
      <family val="2"/>
    </font>
    <font>
      <sz val="10"/>
      <color rgb="FFFF1493"/>
      <name val="Consolas"/>
      <family val="2"/>
    </font>
    <font>
      <b/>
      <sz val="10"/>
      <color rgb="FFFFFFFF"/>
      <name val="Calibri"/>
      <family val="2"/>
    </font>
    <font>
      <sz val="16"/>
      <color theme="1"/>
      <name val="Arial"/>
      <family val="2"/>
    </font>
    <font>
      <sz val="9"/>
      <color rgb="FF708090"/>
      <name val="Wingdings 3"/>
      <family val="2"/>
    </font>
    <font>
      <b/>
      <sz val="8"/>
      <name val="Arial"/>
      <family val="2"/>
    </font>
    <font>
      <b/>
      <sz val="10"/>
      <color rgb="FF000000"/>
      <name val="Calibri"/>
      <family val="2"/>
    </font>
    <font>
      <i/>
      <sz val="10"/>
      <color rgb="FF000000"/>
      <name val="Calibri"/>
      <family val="2"/>
    </font>
  </fonts>
  <fills count="7">
    <fill>
      <patternFill/>
    </fill>
    <fill>
      <patternFill patternType="gray125"/>
    </fill>
    <fill>
      <patternFill patternType="solid">
        <fgColor rgb="FFF5F5F5"/>
        <bgColor indexed="64"/>
      </patternFill>
    </fill>
    <fill>
      <patternFill patternType="solid">
        <fgColor rgb="FF0093B2"/>
        <bgColor indexed="64"/>
      </patternFill>
    </fill>
    <fill>
      <patternFill patternType="solid">
        <fgColor rgb="FFF8F8F8"/>
        <bgColor indexed="64"/>
      </patternFill>
    </fill>
    <fill>
      <patternFill patternType="solid">
        <fgColor rgb="FFFFFFFF"/>
        <bgColor indexed="64"/>
      </patternFill>
    </fill>
    <fill>
      <patternFill patternType="solid">
        <fgColor rgb="FFFFFFD7"/>
        <bgColor indexed="64"/>
      </patternFill>
    </fill>
  </fills>
  <borders count="25">
    <border>
      <left/>
      <right/>
      <top/>
      <bottom/>
      <diagonal/>
    </border>
    <border>
      <left style="medium">
        <color rgb="FF708090"/>
      </left>
      <right/>
      <top/>
      <bottom/>
    </border>
    <border>
      <left style="medium">
        <color rgb="FF708090"/>
      </left>
      <right style="medium">
        <color rgb="FF708090"/>
      </right>
      <top/>
      <bottom/>
    </border>
    <border>
      <left style="medium">
        <color rgb="FF708090"/>
      </left>
      <right style="medium">
        <color rgb="FF708090"/>
      </right>
      <top style="medium">
        <color rgb="FF708090"/>
      </top>
      <bottom/>
    </border>
    <border>
      <left/>
      <right/>
      <top/>
      <bottom style="medium">
        <color rgb="FF708090"/>
      </bottom>
    </border>
    <border>
      <left style="medium">
        <color rgb="FF708090"/>
      </left>
      <right style="medium">
        <color rgb="FF708090"/>
      </right>
      <top style="medium">
        <color rgb="FF708090"/>
      </top>
      <bottom style="medium">
        <color rgb="FF708090"/>
      </bottom>
    </border>
    <border>
      <left style="hair">
        <color rgb="FF708090"/>
      </left>
      <right/>
      <top/>
      <bottom/>
    </border>
    <border>
      <left style="hair">
        <color rgb="FF708090"/>
      </left>
      <right style="hair">
        <color rgb="FF708090"/>
      </right>
      <top/>
      <bottom/>
    </border>
    <border>
      <left style="hair">
        <color rgb="FF708090"/>
      </left>
      <right style="hair">
        <color rgb="FF708090"/>
      </right>
      <top style="hair">
        <color rgb="FF708090"/>
      </top>
      <bottom/>
    </border>
    <border>
      <left/>
      <right/>
      <top/>
      <bottom style="hair">
        <color rgb="FF708090"/>
      </bottom>
    </border>
    <border>
      <left style="hair">
        <color rgb="FF708090"/>
      </left>
      <right style="hair">
        <color rgb="FF708090"/>
      </right>
      <top style="hair">
        <color rgb="FF708090"/>
      </top>
      <bottom style="hair">
        <color rgb="FF708090"/>
      </bottom>
    </border>
    <border>
      <left/>
      <right/>
      <top style="hair">
        <color rgb="FF708090"/>
      </top>
      <bottom/>
    </border>
    <border>
      <left/>
      <right/>
      <top style="hair">
        <color rgb="FF708090"/>
      </top>
      <bottom style="hair">
        <color rgb="FF708090"/>
      </bottom>
    </border>
    <border>
      <left style="hair">
        <color rgb="FF708090"/>
      </left>
      <right/>
      <top style="hair">
        <color rgb="FF708090"/>
      </top>
      <bottom style="hair">
        <color rgb="FF708090"/>
      </bottom>
    </border>
    <border>
      <left/>
      <right/>
      <top style="dashed">
        <color rgb="FF708090"/>
      </top>
      <bottom/>
    </border>
    <border>
      <left/>
      <right/>
      <top style="dashed">
        <color rgb="FF708090"/>
      </top>
      <bottom style="dashed">
        <color rgb="FF708090"/>
      </bottom>
    </border>
    <border>
      <left style="medium">
        <color rgb="FF708090"/>
      </left>
      <right/>
      <top style="dashed">
        <color rgb="FF708090"/>
      </top>
      <bottom style="dashed">
        <color rgb="FF708090"/>
      </bottom>
    </border>
    <border>
      <left style="medium">
        <color rgb="FF708090"/>
      </left>
      <right style="medium">
        <color rgb="FF708090"/>
      </right>
      <top style="dashed">
        <color rgb="FF708090"/>
      </top>
      <bottom style="dashed">
        <color rgb="FF708090"/>
      </bottom>
    </border>
    <border>
      <left style="medium">
        <color rgb="FF708090"/>
      </left>
      <right style="medium">
        <color rgb="FF708090"/>
      </right>
      <top style="medium">
        <color rgb="FF708090"/>
      </top>
      <bottom style="dashed">
        <color rgb="FF708090"/>
      </bottom>
    </border>
    <border>
      <left/>
      <right/>
      <top/>
      <bottom style="medium">
        <color rgb="FFD3D3D3"/>
      </bottom>
    </border>
    <border>
      <left style="medium">
        <color rgb="FF708090"/>
      </left>
      <right style="medium">
        <color rgb="FF708090"/>
      </right>
      <top style="dashed">
        <color rgb="FF708090"/>
      </top>
      <bottom style="medium">
        <color rgb="FF708090"/>
      </bottom>
    </border>
    <border>
      <left/>
      <right/>
      <top style="medium">
        <color rgb="FF708090"/>
      </top>
      <bottom/>
    </border>
    <border>
      <left/>
      <right/>
      <top style="medium">
        <color rgb="FF708090"/>
      </top>
      <bottom style="medium">
        <color rgb="FF708090"/>
      </bottom>
    </border>
    <border>
      <left style="medium">
        <color rgb="FF708090"/>
      </left>
      <right/>
      <top style="medium">
        <color rgb="FF708090"/>
      </top>
      <bottom style="medium">
        <color rgb="FF708090"/>
      </bottom>
    </border>
    <border>
      <left/>
      <right/>
      <top/>
      <bottom style="dashed">
        <color rgb="FF708090"/>
      </bottom>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323">
    <xf numFmtId="0" fontId="0" fillId="0" borderId="0" xfId="0"/>
    <xf numFmtId="0" fontId="36" fillId="0" borderId="0" xfId="0" applyFont="1" applyAlignment="1">
      <alignment horizontal="center" vertical="center" textRotation="90"/>
    </xf>
    <xf numFmtId="0" fontId="28" fillId="0" borderId="0" xfId="0" applyFont="1" applyAlignment="1">
      <alignment horizontal="center" vertical="center"/>
    </xf>
    <xf numFmtId="0" fontId="47" fillId="0" borderId="0" xfId="0" applyFont="1" applyAlignment="1">
      <alignment horizontal="center" vertical="center"/>
    </xf>
    <xf numFmtId="0" fontId="61" fillId="0" borderId="0" xfId="0" applyFont="1"/>
    <xf numFmtId="0" fontId="66" fillId="0" borderId="0" xfId="0" applyFont="1" applyAlignment="1">
      <alignment horizontal="center" vertical="center"/>
    </xf>
    <xf numFmtId="0" fontId="0" fillId="0" borderId="0" xfId="0" applyAlignment="1">
      <alignment indent="2"/>
    </xf>
    <xf numFmtId="0" fontId="0" fillId="0" borderId="1" xfId="0" applyBorder="1" applyAlignment="1">
      <alignment indent="2"/>
    </xf>
    <xf numFmtId="0" fontId="0" fillId="0" borderId="2" xfId="0" applyBorder="1" applyAlignment="1">
      <alignment indent="2"/>
    </xf>
    <xf numFmtId="0" fontId="0" fillId="0" borderId="3" xfId="0" applyBorder="1" applyAlignment="1">
      <alignment indent="2"/>
    </xf>
    <xf numFmtId="0" fontId="66" fillId="0" borderId="4" xfId="0" applyFont="1" applyBorder="1" applyAlignment="1">
      <alignment horizontal="center" vertical="center"/>
    </xf>
    <xf numFmtId="0" fontId="0" fillId="0" borderId="5" xfId="0" applyBorder="1" applyAlignment="1">
      <alignment indent="2"/>
    </xf>
    <xf numFmtId="0" fontId="69" fillId="2" borderId="0" xfId="0" applyFont="1" applyFill="1" applyAlignment="1">
      <alignment horizontal="left" vertical="top"/>
    </xf>
    <xf numFmtId="0" fontId="46" fillId="0" borderId="0" xfId="0" applyFont="1" applyAlignment="1">
      <alignment horizontal="center" vertical="center"/>
    </xf>
    <xf numFmtId="0" fontId="43" fillId="0" borderId="0" xfId="0" applyFont="1" applyAlignment="1">
      <alignment horizontal="center" vertical="center"/>
    </xf>
    <xf numFmtId="0" fontId="52" fillId="0" borderId="0" xfId="0" applyFont="1" applyAlignment="1">
      <alignment horizontal="center" vertical="center"/>
    </xf>
    <xf numFmtId="0" fontId="68" fillId="0" borderId="0" xfId="0" applyFont="1"/>
    <xf numFmtId="0" fontId="37" fillId="0" borderId="0" xfId="0" applyFont="1" applyAlignment="1">
      <alignment horizontal="center" vertical="center"/>
    </xf>
    <xf numFmtId="0" fontId="56" fillId="0" borderId="0" xfId="0" applyFont="1" applyAlignment="1">
      <alignment wrapText="1"/>
    </xf>
    <xf numFmtId="0" fontId="18" fillId="0" borderId="0" xfId="0" applyFont="1"/>
    <xf numFmtId="0" fontId="64" fillId="0" borderId="0" xfId="0" applyFont="1" applyAlignment="1">
      <alignment horizontal="right" vertical="center"/>
    </xf>
    <xf numFmtId="0" fontId="0" fillId="0" borderId="5" xfId="0" applyBorder="1" applyAlignment="1" applyProtection="1">
      <alignment indent="2"/>
      <protection locked="0"/>
    </xf>
    <xf numFmtId="0" fontId="67" fillId="3" borderId="0" xfId="0" applyFont="1" applyFill="1" applyAlignment="1">
      <alignment horizontal="center" vertical="center" wrapText="1"/>
    </xf>
    <xf numFmtId="0" fontId="10" fillId="3" borderId="0" xfId="0" applyFont="1" applyFill="1" applyAlignment="1">
      <alignment horizontal="center" vertical="center" wrapText="1"/>
    </xf>
    <xf numFmtId="0" fontId="32" fillId="4" borderId="0" xfId="0" applyFont="1" applyFill="1"/>
    <xf numFmtId="0" fontId="36" fillId="4" borderId="0" xfId="0" applyFont="1" applyFill="1" applyAlignment="1">
      <alignment horizontal="center" vertical="center" textRotation="90"/>
    </xf>
    <xf numFmtId="0" fontId="28" fillId="4" borderId="0" xfId="0" applyFont="1" applyFill="1" applyAlignment="1">
      <alignment horizontal="center" vertical="center"/>
    </xf>
    <xf numFmtId="0" fontId="47" fillId="4" borderId="0" xfId="0" applyFont="1" applyFill="1" applyAlignment="1">
      <alignment horizontal="center" vertical="center"/>
    </xf>
    <xf numFmtId="0" fontId="51" fillId="4" borderId="0" xfId="0" applyFont="1" applyFill="1"/>
    <xf numFmtId="0" fontId="66" fillId="4" borderId="0" xfId="0" applyFont="1" applyFill="1" applyAlignment="1">
      <alignment horizontal="center" vertical="center"/>
    </xf>
    <xf numFmtId="0" fontId="32" fillId="4" borderId="0" xfId="0" applyFont="1" applyFill="1" applyAlignment="1">
      <alignment indent="2"/>
    </xf>
    <xf numFmtId="0" fontId="32" fillId="4" borderId="1" xfId="0" applyFont="1" applyFill="1" applyBorder="1" applyAlignment="1">
      <alignment indent="2"/>
    </xf>
    <xf numFmtId="0" fontId="32" fillId="4" borderId="2" xfId="0" applyFont="1" applyFill="1" applyBorder="1" applyAlignment="1">
      <alignment indent="2"/>
    </xf>
    <xf numFmtId="0" fontId="32" fillId="4" borderId="3" xfId="0" applyFont="1" applyFill="1" applyBorder="1" applyAlignment="1">
      <alignment indent="2"/>
    </xf>
    <xf numFmtId="0" fontId="66" fillId="4" borderId="4" xfId="0" applyFont="1" applyFill="1" applyBorder="1" applyAlignment="1">
      <alignment horizontal="center" vertical="center"/>
    </xf>
    <xf numFmtId="0" fontId="32" fillId="4" borderId="5" xfId="0" applyFont="1" applyFill="1" applyBorder="1" applyAlignment="1">
      <alignment indent="2"/>
    </xf>
    <xf numFmtId="0" fontId="46" fillId="4" borderId="0" xfId="0" applyFont="1" applyFill="1" applyAlignment="1">
      <alignment horizontal="center" vertical="center"/>
    </xf>
    <xf numFmtId="0" fontId="43" fillId="4" borderId="0" xfId="0" applyFont="1" applyFill="1" applyAlignment="1">
      <alignment horizontal="center" vertical="center"/>
    </xf>
    <xf numFmtId="0" fontId="52" fillId="4" borderId="0" xfId="0" applyFont="1" applyFill="1" applyAlignment="1">
      <alignment horizontal="center" vertical="center"/>
    </xf>
    <xf numFmtId="0" fontId="65" fillId="4" borderId="0" xfId="0" applyFont="1" applyFill="1"/>
    <xf numFmtId="0" fontId="37" fillId="4" borderId="0" xfId="0" applyFont="1" applyFill="1" applyAlignment="1">
      <alignment horizontal="center" vertical="center"/>
    </xf>
    <xf numFmtId="0" fontId="27" fillId="4" borderId="0" xfId="0" applyFont="1" applyFill="1" applyAlignment="1">
      <alignment wrapText="1"/>
    </xf>
    <xf numFmtId="0" fontId="8" fillId="4" borderId="0" xfId="0" applyFont="1" applyFill="1"/>
    <xf numFmtId="0" fontId="64" fillId="4" borderId="0" xfId="0" applyFont="1" applyFill="1" applyAlignment="1">
      <alignment horizontal="right" vertical="center"/>
    </xf>
    <xf numFmtId="0" fontId="32" fillId="4" borderId="5" xfId="0" applyFont="1" applyFill="1" applyBorder="1" applyAlignment="1" applyProtection="1">
      <alignment indent="2"/>
      <protection locked="0"/>
    </xf>
    <xf numFmtId="0" fontId="47" fillId="0" borderId="0" xfId="0" applyFont="1" applyAlignment="1">
      <alignment horizontal="center" vertical="center" textRotation="90"/>
    </xf>
    <xf numFmtId="0" fontId="0" fillId="0" borderId="0" xfId="0" applyAlignment="1">
      <alignment wrapText="1" indent="1"/>
    </xf>
    <xf numFmtId="0" fontId="46" fillId="0" borderId="0" xfId="0" applyFont="1" applyAlignment="1">
      <alignment horizontal="center" vertical="center" textRotation="90"/>
    </xf>
    <xf numFmtId="0" fontId="0" fillId="0" borderId="0" xfId="0" applyAlignment="1">
      <alignment horizontal="center"/>
    </xf>
    <xf numFmtId="0" fontId="0" fillId="0" borderId="0" xfId="0" applyAlignment="1">
      <alignment vertical="center"/>
    </xf>
    <xf numFmtId="0" fontId="45" fillId="0" borderId="0" xfId="0" applyFont="1" applyAlignment="1">
      <alignment horizontal="center" vertical="center" textRotation="90"/>
    </xf>
    <xf numFmtId="0" fontId="44" fillId="0" borderId="0" xfId="0" applyFont="1" applyAlignment="1">
      <alignment horizontal="center" vertical="center" textRotation="90"/>
    </xf>
    <xf numFmtId="0" fontId="43" fillId="0" borderId="0" xfId="0" applyFont="1" applyAlignment="1">
      <alignment horizontal="center" vertical="center" textRotation="90"/>
    </xf>
    <xf numFmtId="0" fontId="63" fillId="3" borderId="0" xfId="0" applyFont="1" applyFill="1" applyAlignment="1">
      <alignment horizontal="center" vertical="center" textRotation="90"/>
    </xf>
    <xf numFmtId="0" fontId="54" fillId="0" borderId="0" xfId="0" applyFont="1" applyAlignment="1">
      <alignment horizontal="center" vertical="center" textRotation="90"/>
    </xf>
    <xf numFmtId="0" fontId="62" fillId="0" borderId="0" xfId="0" applyFont="1" applyAlignment="1">
      <alignment horizontal="center" vertical="center"/>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0" fillId="0" borderId="9" xfId="0" applyBorder="1"/>
    <xf numFmtId="0" fontId="62" fillId="0" borderId="10" xfId="0" applyFont="1" applyBorder="1" applyAlignment="1">
      <alignment horizontal="center" vertical="center"/>
    </xf>
    <xf numFmtId="0" fontId="0" fillId="0" borderId="0" xfId="0" applyFont="1"/>
    <xf numFmtId="0" fontId="0" fillId="0" borderId="11" xfId="0" applyFont="1" applyBorder="1"/>
    <xf numFmtId="0" fontId="0" fillId="0" borderId="12" xfId="0" applyFont="1" applyBorder="1"/>
    <xf numFmtId="0" fontId="0" fillId="0" borderId="13" xfId="0" applyFont="1" applyBorder="1"/>
    <xf numFmtId="0" fontId="0" fillId="0" borderId="10" xfId="0" applyFont="1" applyBorder="1"/>
    <xf numFmtId="0" fontId="52" fillId="0" borderId="0" xfId="0" applyFont="1" applyAlignment="1">
      <alignment horizontal="center" vertical="center" wrapText="1"/>
    </xf>
    <xf numFmtId="0" fontId="61" fillId="0" borderId="0" xfId="0" applyFont="1" applyAlignment="1">
      <alignment wrapText="1"/>
    </xf>
    <xf numFmtId="0" fontId="50" fillId="0" borderId="0" xfId="0" applyFont="1" applyAlignment="1">
      <alignment horizontal="center" vertical="center"/>
    </xf>
    <xf numFmtId="0" fontId="49" fillId="0" borderId="0" xfId="0" applyFont="1" applyAlignment="1">
      <alignment horizontal="center" vertical="center"/>
    </xf>
    <xf numFmtId="0" fontId="60" fillId="0" borderId="0" xfId="0" applyFont="1"/>
    <xf numFmtId="0" fontId="3" fillId="0" borderId="0" xfId="0" applyFont="1" applyAlignment="1">
      <alignment horizontal="center" vertical="center"/>
    </xf>
    <xf numFmtId="0" fontId="56" fillId="0" borderId="0" xfId="0" applyFont="1"/>
    <xf numFmtId="0" fontId="29" fillId="0" borderId="0" xfId="0" applyFont="1" applyAlignment="1">
      <alignment horizontal="right"/>
    </xf>
    <xf numFmtId="0" fontId="21" fillId="5" borderId="0" xfId="0" applyFont="1" applyFill="1"/>
    <xf numFmtId="0" fontId="21" fillId="5" borderId="14" xfId="0" applyFont="1" applyFill="1" applyBorder="1"/>
    <xf numFmtId="0" fontId="21" fillId="5" borderId="15" xfId="0" applyFont="1" applyFill="1" applyBorder="1"/>
    <xf numFmtId="0" fontId="21" fillId="5" borderId="16" xfId="0" applyFont="1" applyFill="1" applyBorder="1"/>
    <xf numFmtId="0" fontId="21" fillId="5" borderId="17" xfId="0" applyFont="1" applyFill="1" applyBorder="1"/>
    <xf numFmtId="0" fontId="21" fillId="5" borderId="18" xfId="0" applyFont="1" applyFill="1" applyBorder="1"/>
    <xf numFmtId="0" fontId="21" fillId="5" borderId="5" xfId="0" applyFont="1" applyFill="1" applyBorder="1"/>
    <xf numFmtId="180" fontId="0" fillId="0" borderId="0" xfId="0" applyNumberFormat="1"/>
    <xf numFmtId="0" fontId="29" fillId="0" borderId="0" xfId="0" applyFont="1" applyAlignment="1">
      <alignment horizontal="left"/>
    </xf>
    <xf numFmtId="0" fontId="56" fillId="0" borderId="19" xfId="0" applyFont="1" applyBorder="1"/>
    <xf numFmtId="0" fontId="0" fillId="0" borderId="19" xfId="0" applyBorder="1"/>
    <xf numFmtId="0" fontId="42" fillId="0" borderId="0" xfId="0" applyFont="1" applyAlignment="1">
      <alignment horizontal="center" vertical="center"/>
    </xf>
    <xf numFmtId="0" fontId="41" fillId="0" borderId="0" xfId="0"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0" fontId="57" fillId="0" borderId="0" xfId="0" applyFont="1"/>
    <xf numFmtId="0" fontId="36" fillId="0" borderId="0" xfId="0" applyFont="1" applyAlignment="1">
      <alignment horizontal="center" vertical="center"/>
    </xf>
    <xf numFmtId="0" fontId="35" fillId="0" borderId="0" xfId="0" applyFont="1" applyAlignment="1">
      <alignment horizontal="center" vertical="center"/>
    </xf>
    <xf numFmtId="0" fontId="59" fillId="0" borderId="0" xfId="0" applyFont="1"/>
    <xf numFmtId="0" fontId="33" fillId="0" borderId="0" xfId="0" applyFont="1" applyAlignment="1">
      <alignment horizontal="center" vertical="center"/>
    </xf>
    <xf numFmtId="0" fontId="58" fillId="0" borderId="0" xfId="0" applyFont="1" applyAlignment="1">
      <alignment vertical="center"/>
    </xf>
    <xf numFmtId="0" fontId="31" fillId="0" borderId="0" xfId="0" applyFont="1"/>
    <xf numFmtId="0" fontId="30" fillId="0" borderId="0" xfId="0" applyFont="1" applyAlignment="1">
      <alignment horizontal="center" vertical="center"/>
    </xf>
    <xf numFmtId="0" fontId="56" fillId="0" borderId="0" xfId="0" applyFont="1" applyAlignment="1">
      <alignment indent="2"/>
    </xf>
    <xf numFmtId="177" fontId="21" fillId="5" borderId="0" xfId="0" applyNumberFormat="1" applyFont="1" applyFill="1"/>
    <xf numFmtId="177" fontId="21" fillId="5" borderId="14" xfId="0" applyNumberFormat="1" applyFont="1" applyFill="1" applyBorder="1"/>
    <xf numFmtId="177" fontId="21" fillId="5" borderId="15" xfId="0" applyNumberFormat="1" applyFont="1" applyFill="1" applyBorder="1"/>
    <xf numFmtId="177" fontId="21" fillId="5" borderId="16" xfId="0" applyNumberFormat="1" applyFont="1" applyFill="1" applyBorder="1"/>
    <xf numFmtId="177" fontId="21" fillId="5" borderId="17" xfId="0" applyNumberFormat="1" applyFont="1" applyFill="1" applyBorder="1"/>
    <xf numFmtId="177" fontId="21" fillId="5" borderId="18" xfId="0" applyNumberFormat="1" applyFont="1" applyFill="1" applyBorder="1"/>
    <xf numFmtId="177" fontId="21" fillId="5" borderId="5" xfId="0" applyNumberFormat="1" applyFont="1" applyFill="1" applyBorder="1"/>
    <xf numFmtId="0" fontId="57" fillId="0" borderId="0" xfId="0" applyFont="1" applyAlignment="1">
      <alignment indent="2"/>
    </xf>
    <xf numFmtId="0" fontId="23" fillId="0" borderId="0" xfId="0" applyFont="1" applyAlignment="1">
      <alignment indent="2"/>
    </xf>
    <xf numFmtId="3" fontId="21" fillId="5" borderId="0" xfId="0" applyNumberFormat="1" applyFont="1" applyFill="1"/>
    <xf numFmtId="3" fontId="21" fillId="5" borderId="14" xfId="0" applyNumberFormat="1" applyFont="1" applyFill="1" applyBorder="1"/>
    <xf numFmtId="3" fontId="21" fillId="5" borderId="15" xfId="0" applyNumberFormat="1" applyFont="1" applyFill="1" applyBorder="1"/>
    <xf numFmtId="3" fontId="21" fillId="5" borderId="16" xfId="0" applyNumberFormat="1" applyFont="1" applyFill="1" applyBorder="1"/>
    <xf numFmtId="3" fontId="21" fillId="5" borderId="17" xfId="0" applyNumberFormat="1" applyFont="1" applyFill="1" applyBorder="1"/>
    <xf numFmtId="3" fontId="21" fillId="5" borderId="18" xfId="0" applyNumberFormat="1" applyFont="1" applyFill="1" applyBorder="1"/>
    <xf numFmtId="3" fontId="21" fillId="5" borderId="20" xfId="0" applyNumberFormat="1" applyFont="1" applyFill="1" applyBorder="1"/>
    <xf numFmtId="0" fontId="56" fillId="0" borderId="0" xfId="0" applyFont="1" applyAlignment="1">
      <alignment horizontal="right" indent="2"/>
    </xf>
    <xf numFmtId="0" fontId="21" fillId="6" borderId="0" xfId="0" applyFont="1" applyFill="1"/>
    <xf numFmtId="3" fontId="21" fillId="6" borderId="0" xfId="0" applyNumberFormat="1" applyFont="1" applyFill="1"/>
    <xf numFmtId="3" fontId="21" fillId="6" borderId="21" xfId="0" applyNumberFormat="1" applyFont="1" applyFill="1" applyBorder="1"/>
    <xf numFmtId="3" fontId="21" fillId="6" borderId="22" xfId="0" applyNumberFormat="1" applyFont="1" applyFill="1" applyBorder="1"/>
    <xf numFmtId="3" fontId="21" fillId="6" borderId="23" xfId="0" applyNumberFormat="1" applyFont="1" applyFill="1" applyBorder="1"/>
    <xf numFmtId="3" fontId="21" fillId="6" borderId="5" xfId="0" applyNumberFormat="1" applyFont="1" applyFill="1" applyBorder="1"/>
    <xf numFmtId="3" fontId="21" fillId="5" borderId="5" xfId="0" applyNumberFormat="1" applyFont="1" applyFill="1" applyBorder="1"/>
    <xf numFmtId="179" fontId="21" fillId="6" borderId="0" xfId="0" applyNumberFormat="1" applyFont="1" applyFill="1"/>
    <xf numFmtId="178" fontId="21" fillId="6" borderId="0" xfId="0" applyNumberFormat="1" applyFont="1" applyFill="1"/>
    <xf numFmtId="179" fontId="21" fillId="6" borderId="21" xfId="0" applyNumberFormat="1" applyFont="1" applyFill="1" applyBorder="1"/>
    <xf numFmtId="179" fontId="21" fillId="6" borderId="22" xfId="0" applyNumberFormat="1" applyFont="1" applyFill="1" applyBorder="1"/>
    <xf numFmtId="178" fontId="21" fillId="6" borderId="21" xfId="0" applyNumberFormat="1" applyFont="1" applyFill="1" applyBorder="1"/>
    <xf numFmtId="178" fontId="21" fillId="6" borderId="22" xfId="0" applyNumberFormat="1" applyFont="1" applyFill="1" applyBorder="1"/>
    <xf numFmtId="179" fontId="21" fillId="6" borderId="23" xfId="0" applyNumberFormat="1" applyFont="1" applyFill="1" applyBorder="1"/>
    <xf numFmtId="178" fontId="21" fillId="6" borderId="23" xfId="0" applyNumberFormat="1" applyFont="1" applyFill="1" applyBorder="1"/>
    <xf numFmtId="179" fontId="21" fillId="6" borderId="5" xfId="0" applyNumberFormat="1" applyFont="1" applyFill="1" applyBorder="1"/>
    <xf numFmtId="178" fontId="21" fillId="6" borderId="5" xfId="0" applyNumberFormat="1" applyFont="1" applyFill="1" applyBorder="1"/>
    <xf numFmtId="0" fontId="20" fillId="0" borderId="0" xfId="0" applyFont="1"/>
    <xf numFmtId="0" fontId="19" fillId="0" borderId="0" xfId="0" applyFont="1"/>
    <xf numFmtId="0" fontId="0" fillId="0" borderId="10" xfId="0" applyFont="1" applyBorder="1" applyProtection="1">
      <protection locked="0"/>
    </xf>
    <xf numFmtId="0" fontId="21" fillId="5" borderId="5" xfId="0" applyFont="1" applyFill="1" applyBorder="1" applyProtection="1">
      <protection locked="0"/>
    </xf>
    <xf numFmtId="177" fontId="21" fillId="5" borderId="5" xfId="0" applyNumberFormat="1" applyFont="1" applyFill="1" applyBorder="1" applyProtection="1">
      <protection locked="0"/>
    </xf>
    <xf numFmtId="3" fontId="21" fillId="5" borderId="18" xfId="0" applyNumberFormat="1" applyFont="1" applyFill="1" applyBorder="1" applyProtection="1">
      <protection locked="0"/>
    </xf>
    <xf numFmtId="3" fontId="21" fillId="5" borderId="20" xfId="0" applyNumberFormat="1" applyFont="1" applyFill="1" applyBorder="1" applyProtection="1">
      <protection locked="0"/>
    </xf>
    <xf numFmtId="3" fontId="21" fillId="5" borderId="17" xfId="0" applyNumberFormat="1" applyFont="1" applyFill="1" applyBorder="1" applyProtection="1">
      <protection locked="0"/>
    </xf>
    <xf numFmtId="3" fontId="21" fillId="5" borderId="5" xfId="0" applyNumberFormat="1" applyFont="1" applyFill="1" applyBorder="1" applyProtection="1">
      <protection locked="0"/>
    </xf>
    <xf numFmtId="0" fontId="55" fillId="3" borderId="0" xfId="0" applyFont="1" applyFill="1" applyAlignment="1">
      <alignment horizontal="center" vertical="center" wrapText="1"/>
    </xf>
    <xf numFmtId="0" fontId="47" fillId="4" borderId="0" xfId="0" applyFont="1" applyFill="1" applyAlignment="1">
      <alignment horizontal="center" vertical="center" textRotation="90"/>
    </xf>
    <xf numFmtId="0" fontId="32" fillId="4" borderId="0" xfId="0" applyFont="1" applyFill="1" applyAlignment="1">
      <alignment wrapText="1" indent="1"/>
    </xf>
    <xf numFmtId="0" fontId="46" fillId="4" borderId="0" xfId="0" applyFont="1" applyFill="1" applyAlignment="1">
      <alignment horizontal="center" vertical="center" textRotation="90"/>
    </xf>
    <xf numFmtId="0" fontId="32" fillId="4" borderId="0" xfId="0" applyFont="1" applyFill="1" applyAlignment="1">
      <alignment horizontal="center"/>
    </xf>
    <xf numFmtId="0" fontId="32" fillId="4" borderId="0" xfId="0" applyFont="1" applyFill="1" applyAlignment="1">
      <alignment vertical="center"/>
    </xf>
    <xf numFmtId="0" fontId="45" fillId="4" borderId="0" xfId="0" applyFont="1" applyFill="1" applyAlignment="1">
      <alignment horizontal="center" vertical="center" textRotation="90"/>
    </xf>
    <xf numFmtId="0" fontId="44" fillId="4" borderId="0" xfId="0" applyFont="1" applyFill="1" applyAlignment="1">
      <alignment horizontal="center" vertical="center" textRotation="90"/>
    </xf>
    <xf numFmtId="0" fontId="43" fillId="4" borderId="0" xfId="0" applyFont="1" applyFill="1" applyAlignment="1">
      <alignment horizontal="center" vertical="center" textRotation="90"/>
    </xf>
    <xf numFmtId="0" fontId="54" fillId="4" borderId="0" xfId="0" applyFont="1" applyFill="1" applyAlignment="1">
      <alignment horizontal="center" vertical="center" textRotation="90"/>
    </xf>
    <xf numFmtId="0" fontId="53" fillId="4" borderId="0" xfId="0" applyFont="1" applyFill="1" applyAlignment="1">
      <alignment horizontal="center" vertical="center"/>
    </xf>
    <xf numFmtId="0" fontId="53" fillId="4" borderId="6" xfId="0" applyFont="1" applyFill="1" applyBorder="1" applyAlignment="1">
      <alignment horizontal="center" vertical="center"/>
    </xf>
    <xf numFmtId="0" fontId="53" fillId="4" borderId="7" xfId="0" applyFont="1" applyFill="1" applyBorder="1" applyAlignment="1">
      <alignment horizontal="center" vertical="center"/>
    </xf>
    <xf numFmtId="0" fontId="53" fillId="4" borderId="8" xfId="0" applyFont="1" applyFill="1" applyBorder="1" applyAlignment="1">
      <alignment horizontal="center" vertical="center"/>
    </xf>
    <xf numFmtId="0" fontId="32" fillId="4" borderId="9" xfId="0" applyFont="1" applyFill="1" applyBorder="1"/>
    <xf numFmtId="0" fontId="53" fillId="4" borderId="10" xfId="0" applyFont="1" applyFill="1" applyBorder="1" applyAlignment="1">
      <alignment horizontal="center" vertical="center"/>
    </xf>
    <xf numFmtId="0" fontId="24" fillId="4" borderId="0" xfId="0" applyFont="1" applyFill="1"/>
    <xf numFmtId="0" fontId="24" fillId="4" borderId="11" xfId="0" applyFont="1" applyFill="1" applyBorder="1"/>
    <xf numFmtId="0" fontId="24" fillId="4" borderId="12" xfId="0" applyFont="1" applyFill="1" applyBorder="1"/>
    <xf numFmtId="0" fontId="24" fillId="4" borderId="13" xfId="0" applyFont="1" applyFill="1" applyBorder="1"/>
    <xf numFmtId="0" fontId="24" fillId="4" borderId="10" xfId="0" applyFont="1" applyFill="1" applyBorder="1"/>
    <xf numFmtId="0" fontId="52" fillId="4" borderId="0" xfId="0" applyFont="1" applyFill="1" applyAlignment="1">
      <alignment horizontal="center" vertical="center" wrapText="1"/>
    </xf>
    <xf numFmtId="0" fontId="51" fillId="4" borderId="0" xfId="0" applyFont="1" applyFill="1" applyAlignment="1">
      <alignment wrapText="1" indent="1"/>
    </xf>
    <xf numFmtId="0" fontId="50" fillId="4" borderId="0" xfId="0" applyFont="1" applyFill="1" applyAlignment="1">
      <alignment horizontal="center" vertical="center" wrapText="1"/>
    </xf>
    <xf numFmtId="0" fontId="49" fillId="4" borderId="0" xfId="0" applyFont="1" applyFill="1" applyAlignment="1">
      <alignment horizontal="center" vertical="center" wrapText="1"/>
    </xf>
    <xf numFmtId="0" fontId="48" fillId="4" borderId="0" xfId="0" applyFont="1" applyFill="1" applyAlignment="1">
      <alignment wrapText="1" indent="1"/>
    </xf>
    <xf numFmtId="0" fontId="3" fillId="4" borderId="0" xfId="0" applyFont="1" applyFill="1" applyAlignment="1">
      <alignment horizontal="center" vertical="center" wrapText="1"/>
    </xf>
    <xf numFmtId="0" fontId="27" fillId="4" borderId="0" xfId="0" applyFont="1" applyFill="1" applyAlignment="1">
      <alignment wrapText="1" indent="1"/>
    </xf>
    <xf numFmtId="0" fontId="29" fillId="4" borderId="0" xfId="0" applyFont="1" applyFill="1" applyAlignment="1">
      <alignment horizontal="right" wrapText="1" indent="1"/>
    </xf>
    <xf numFmtId="0" fontId="21" fillId="5" borderId="0" xfId="0" applyFont="1" applyFill="1" applyAlignment="1">
      <alignment vertical="center"/>
    </xf>
    <xf numFmtId="0" fontId="21" fillId="5" borderId="14" xfId="0" applyFont="1" applyFill="1" applyBorder="1" applyAlignment="1">
      <alignment vertical="center"/>
    </xf>
    <xf numFmtId="0" fontId="32" fillId="4" borderId="24" xfId="0" applyFont="1" applyFill="1" applyBorder="1" applyAlignment="1">
      <alignment vertical="center"/>
    </xf>
    <xf numFmtId="0" fontId="21" fillId="5" borderId="15" xfId="0" applyFont="1" applyFill="1" applyBorder="1" applyAlignment="1">
      <alignment vertical="center"/>
    </xf>
    <xf numFmtId="0" fontId="21" fillId="5" borderId="16" xfId="0" applyFont="1" applyFill="1" applyBorder="1" applyAlignment="1">
      <alignment vertical="center"/>
    </xf>
    <xf numFmtId="0" fontId="21" fillId="5" borderId="17" xfId="0" applyFont="1" applyFill="1" applyBorder="1" applyAlignment="1">
      <alignment vertical="center"/>
    </xf>
    <xf numFmtId="0" fontId="21" fillId="5" borderId="18" xfId="0" applyFont="1" applyFill="1" applyBorder="1" applyAlignment="1">
      <alignment vertical="center"/>
    </xf>
    <xf numFmtId="0" fontId="32" fillId="4" borderId="4" xfId="0" applyFont="1" applyFill="1" applyBorder="1" applyAlignment="1">
      <alignment vertical="center"/>
    </xf>
    <xf numFmtId="0" fontId="21" fillId="5" borderId="5" xfId="0" applyFont="1" applyFill="1" applyBorder="1" applyAlignment="1">
      <alignment vertical="center"/>
    </xf>
    <xf numFmtId="180" fontId="32" fillId="4" borderId="0" xfId="0" applyNumberFormat="1" applyFont="1" applyFill="1"/>
    <xf numFmtId="0" fontId="29" fillId="4" borderId="0" xfId="0" applyFont="1" applyFill="1" applyAlignment="1">
      <alignment horizontal="left" vertical="center"/>
    </xf>
    <xf numFmtId="0" fontId="27" fillId="4" borderId="19" xfId="0" applyFont="1" applyFill="1" applyBorder="1" applyAlignment="1">
      <alignment wrapText="1" indent="1"/>
    </xf>
    <xf numFmtId="0" fontId="47" fillId="4" borderId="19" xfId="0" applyFont="1" applyFill="1" applyBorder="1" applyAlignment="1">
      <alignment horizontal="center" vertical="center" textRotation="90"/>
    </xf>
    <xf numFmtId="0" fontId="46" fillId="4" borderId="19" xfId="0" applyFont="1" applyFill="1" applyBorder="1" applyAlignment="1">
      <alignment horizontal="center" vertical="center" textRotation="90"/>
    </xf>
    <xf numFmtId="0" fontId="32" fillId="4" borderId="19" xfId="0" applyFont="1" applyFill="1" applyBorder="1" applyAlignment="1">
      <alignment horizontal="center"/>
    </xf>
    <xf numFmtId="0" fontId="36" fillId="4" borderId="19" xfId="0" applyFont="1" applyFill="1" applyBorder="1" applyAlignment="1">
      <alignment horizontal="center" vertical="center" textRotation="90"/>
    </xf>
    <xf numFmtId="0" fontId="32" fillId="4" borderId="19" xfId="0" applyFont="1" applyFill="1" applyBorder="1" applyAlignment="1">
      <alignment vertical="center"/>
    </xf>
    <xf numFmtId="0" fontId="45" fillId="4" borderId="19" xfId="0" applyFont="1" applyFill="1" applyBorder="1" applyAlignment="1">
      <alignment horizontal="center" vertical="center" textRotation="90"/>
    </xf>
    <xf numFmtId="0" fontId="32" fillId="4" borderId="19" xfId="0" applyFont="1" applyFill="1" applyBorder="1"/>
    <xf numFmtId="0" fontId="44" fillId="4" borderId="19" xfId="0" applyFont="1" applyFill="1" applyBorder="1" applyAlignment="1">
      <alignment horizontal="center" vertical="center" textRotation="90"/>
    </xf>
    <xf numFmtId="0" fontId="43" fillId="4" borderId="19" xfId="0" applyFont="1" applyFill="1" applyBorder="1" applyAlignment="1">
      <alignment horizontal="center" vertical="center" textRotation="90"/>
    </xf>
    <xf numFmtId="0" fontId="42" fillId="4" borderId="0" xfId="0" applyFont="1" applyFill="1" applyAlignment="1">
      <alignment horizontal="center" vertical="center" wrapText="1"/>
    </xf>
    <xf numFmtId="0" fontId="41" fillId="4" borderId="0" xfId="0" applyFont="1" applyFill="1" applyAlignment="1">
      <alignment horizontal="center" vertical="center" wrapText="1"/>
    </xf>
    <xf numFmtId="0" fontId="40" fillId="4" borderId="0" xfId="0" applyFont="1" applyFill="1" applyAlignment="1">
      <alignment horizontal="center" vertical="center" wrapText="1"/>
    </xf>
    <xf numFmtId="0" fontId="39" fillId="4" borderId="0" xfId="0" applyFont="1" applyFill="1" applyAlignment="1">
      <alignment horizontal="center" vertical="center" wrapText="1"/>
    </xf>
    <xf numFmtId="0" fontId="29" fillId="4" borderId="0" xfId="0" applyFont="1" applyFill="1" applyAlignment="1">
      <alignment wrapText="1" indent="1"/>
    </xf>
    <xf numFmtId="0" fontId="38" fillId="4" borderId="0" xfId="0" applyFont="1" applyFill="1" applyAlignment="1">
      <alignment horizontal="center" vertical="center" textRotation="90"/>
    </xf>
    <xf numFmtId="0" fontId="29" fillId="4" borderId="0" xfId="0" applyFont="1" applyFill="1" applyAlignment="1">
      <alignment horizontal="center"/>
    </xf>
    <xf numFmtId="0" fontId="29" fillId="4" borderId="0" xfId="0" applyFont="1" applyFill="1" applyAlignment="1">
      <alignment vertical="center"/>
    </xf>
    <xf numFmtId="0" fontId="29" fillId="4" borderId="0" xfId="0" applyFont="1" applyFill="1"/>
    <xf numFmtId="0" fontId="37" fillId="4" borderId="0" xfId="0" applyFont="1" applyFill="1" applyAlignment="1">
      <alignment horizontal="center" vertical="center" wrapText="1"/>
    </xf>
    <xf numFmtId="0" fontId="36" fillId="4" borderId="0" xfId="0" applyFont="1" applyFill="1" applyAlignment="1">
      <alignment horizontal="center" vertical="center" wrapText="1"/>
    </xf>
    <xf numFmtId="0" fontId="35" fillId="4" borderId="0" xfId="0" applyFont="1" applyFill="1" applyAlignment="1">
      <alignment horizontal="center" vertical="center" wrapText="1"/>
    </xf>
    <xf numFmtId="0" fontId="34" fillId="4" borderId="0" xfId="0" applyFont="1" applyFill="1" applyAlignment="1">
      <alignment wrapText="1" indent="1"/>
    </xf>
    <xf numFmtId="0" fontId="33" fillId="4" borderId="0" xfId="0" applyFont="1" applyFill="1" applyAlignment="1">
      <alignment horizontal="center" vertical="center" wrapText="1"/>
    </xf>
    <xf numFmtId="0" fontId="32" fillId="4" borderId="0" xfId="0" applyFont="1" applyFill="1" applyAlignment="1">
      <alignment wrapText="1" indent="2"/>
    </xf>
    <xf numFmtId="0" fontId="21" fillId="4" borderId="0" xfId="0" applyFont="1" applyFill="1" applyAlignment="1">
      <alignment horizontal="center" vertical="center"/>
    </xf>
    <xf numFmtId="0" fontId="31" fillId="4" borderId="0" xfId="0" applyFont="1" applyFill="1" applyAlignment="1">
      <alignment vertical="center"/>
    </xf>
    <xf numFmtId="0" fontId="30" fillId="4" borderId="0" xfId="0" applyFont="1" applyFill="1" applyAlignment="1">
      <alignment horizontal="center" vertical="center" wrapText="1"/>
    </xf>
    <xf numFmtId="0" fontId="27" fillId="4" borderId="0" xfId="0" applyFont="1" applyFill="1" applyAlignment="1">
      <alignment wrapText="1" indent="2"/>
    </xf>
    <xf numFmtId="177" fontId="21" fillId="5" borderId="0" xfId="0" applyNumberFormat="1" applyFont="1" applyFill="1" applyAlignment="1">
      <alignment vertical="center"/>
    </xf>
    <xf numFmtId="177" fontId="21" fillId="5" borderId="14" xfId="0" applyNumberFormat="1" applyFont="1" applyFill="1" applyBorder="1" applyAlignment="1">
      <alignment vertical="center"/>
    </xf>
    <xf numFmtId="177" fontId="21" fillId="5" borderId="15" xfId="0" applyNumberFormat="1" applyFont="1" applyFill="1" applyBorder="1" applyAlignment="1">
      <alignment vertical="center"/>
    </xf>
    <xf numFmtId="177" fontId="21" fillId="5" borderId="16" xfId="0" applyNumberFormat="1" applyFont="1" applyFill="1" applyBorder="1" applyAlignment="1">
      <alignment vertical="center"/>
    </xf>
    <xf numFmtId="177" fontId="21" fillId="5" borderId="17" xfId="0" applyNumberFormat="1" applyFont="1" applyFill="1" applyBorder="1" applyAlignment="1">
      <alignment vertical="center"/>
    </xf>
    <xf numFmtId="177" fontId="21" fillId="5" borderId="18" xfId="0" applyNumberFormat="1" applyFont="1" applyFill="1" applyBorder="1" applyAlignment="1">
      <alignment vertical="center"/>
    </xf>
    <xf numFmtId="177" fontId="21" fillId="5" borderId="5" xfId="0" applyNumberFormat="1" applyFont="1" applyFill="1" applyBorder="1" applyAlignment="1">
      <alignment vertical="center"/>
    </xf>
    <xf numFmtId="0" fontId="29" fillId="4" borderId="0" xfId="0" applyFont="1" applyFill="1" applyAlignment="1">
      <alignment wrapText="1" indent="2"/>
    </xf>
    <xf numFmtId="0" fontId="22" fillId="4" borderId="0" xfId="0" applyFont="1" applyFill="1" applyAlignment="1">
      <alignment wrapText="1" indent="2"/>
    </xf>
    <xf numFmtId="3" fontId="21" fillId="5" borderId="0" xfId="0" applyNumberFormat="1" applyFont="1" applyFill="1" applyAlignment="1">
      <alignment vertical="center"/>
    </xf>
    <xf numFmtId="3" fontId="21" fillId="5" borderId="14" xfId="0" applyNumberFormat="1" applyFont="1" applyFill="1" applyBorder="1" applyAlignment="1">
      <alignment vertical="center"/>
    </xf>
    <xf numFmtId="3" fontId="21" fillId="5" borderId="15" xfId="0" applyNumberFormat="1" applyFont="1" applyFill="1" applyBorder="1" applyAlignment="1">
      <alignment vertical="center"/>
    </xf>
    <xf numFmtId="3" fontId="21" fillId="5" borderId="16" xfId="0" applyNumberFormat="1" applyFont="1" applyFill="1" applyBorder="1" applyAlignment="1">
      <alignment vertical="center"/>
    </xf>
    <xf numFmtId="3" fontId="21" fillId="5" borderId="17" xfId="0" applyNumberFormat="1" applyFont="1" applyFill="1" applyBorder="1" applyAlignment="1">
      <alignment vertical="center"/>
    </xf>
    <xf numFmtId="3" fontId="21" fillId="5" borderId="18" xfId="0" applyNumberFormat="1" applyFont="1" applyFill="1" applyBorder="1" applyAlignment="1">
      <alignment vertical="center"/>
    </xf>
    <xf numFmtId="3" fontId="21" fillId="5" borderId="20" xfId="0" applyNumberFormat="1" applyFont="1" applyFill="1" applyBorder="1" applyAlignment="1">
      <alignment vertical="center"/>
    </xf>
    <xf numFmtId="0" fontId="28" fillId="4" borderId="0" xfId="0" applyFont="1" applyFill="1" applyAlignment="1">
      <alignment horizontal="center" vertical="center" wrapText="1"/>
    </xf>
    <xf numFmtId="0" fontId="27" fillId="4" borderId="0" xfId="0" applyFont="1" applyFill="1" applyAlignment="1">
      <alignment horizontal="right" wrapText="1" indent="2"/>
    </xf>
    <xf numFmtId="0" fontId="21" fillId="6" borderId="0" xfId="0" applyFont="1" applyFill="1" applyAlignment="1">
      <alignment vertical="center"/>
    </xf>
    <xf numFmtId="3" fontId="21" fillId="6" borderId="0" xfId="0" applyNumberFormat="1" applyFont="1" applyFill="1" applyAlignment="1">
      <alignment vertical="center"/>
    </xf>
    <xf numFmtId="3" fontId="21" fillId="6" borderId="21" xfId="0" applyNumberFormat="1" applyFont="1" applyFill="1" applyBorder="1" applyAlignment="1">
      <alignment vertical="center"/>
    </xf>
    <xf numFmtId="3" fontId="21" fillId="6" borderId="22" xfId="0" applyNumberFormat="1" applyFont="1" applyFill="1" applyBorder="1" applyAlignment="1">
      <alignment vertical="center"/>
    </xf>
    <xf numFmtId="3" fontId="21" fillId="6" borderId="23" xfId="0" applyNumberFormat="1" applyFont="1" applyFill="1" applyBorder="1" applyAlignment="1">
      <alignment vertical="center"/>
    </xf>
    <xf numFmtId="3" fontId="21" fillId="6" borderId="5" xfId="0" applyNumberFormat="1" applyFont="1" applyFill="1" applyBorder="1" applyAlignment="1">
      <alignment vertical="center"/>
    </xf>
    <xf numFmtId="3" fontId="21" fillId="5" borderId="5" xfId="0" applyNumberFormat="1" applyFont="1" applyFill="1" applyBorder="1" applyAlignment="1">
      <alignment vertical="center"/>
    </xf>
    <xf numFmtId="179" fontId="21" fillId="6" borderId="0" xfId="0" applyNumberFormat="1" applyFont="1" applyFill="1" applyAlignment="1">
      <alignment vertical="center"/>
    </xf>
    <xf numFmtId="178" fontId="21" fillId="6" borderId="0" xfId="0" applyNumberFormat="1" applyFont="1" applyFill="1" applyAlignment="1">
      <alignment vertical="center"/>
    </xf>
    <xf numFmtId="179" fontId="21" fillId="6" borderId="21" xfId="0" applyNumberFormat="1" applyFont="1" applyFill="1" applyBorder="1" applyAlignment="1">
      <alignment vertical="center"/>
    </xf>
    <xf numFmtId="179" fontId="21" fillId="6" borderId="22" xfId="0" applyNumberFormat="1" applyFont="1" applyFill="1" applyBorder="1" applyAlignment="1">
      <alignment vertical="center"/>
    </xf>
    <xf numFmtId="178" fontId="21" fillId="6" borderId="21" xfId="0" applyNumberFormat="1" applyFont="1" applyFill="1" applyBorder="1" applyAlignment="1">
      <alignment vertical="center"/>
    </xf>
    <xf numFmtId="178" fontId="21" fillId="6" borderId="22" xfId="0" applyNumberFormat="1" applyFont="1" applyFill="1" applyBorder="1" applyAlignment="1">
      <alignment vertical="center"/>
    </xf>
    <xf numFmtId="179" fontId="21" fillId="6" borderId="23" xfId="0" applyNumberFormat="1" applyFont="1" applyFill="1" applyBorder="1" applyAlignment="1">
      <alignment vertical="center"/>
    </xf>
    <xf numFmtId="178" fontId="21" fillId="6" borderId="23" xfId="0" applyNumberFormat="1" applyFont="1" applyFill="1" applyBorder="1" applyAlignment="1">
      <alignment vertical="center"/>
    </xf>
    <xf numFmtId="179" fontId="21" fillId="6" borderId="5" xfId="0" applyNumberFormat="1" applyFont="1" applyFill="1" applyBorder="1" applyAlignment="1">
      <alignment vertical="center"/>
    </xf>
    <xf numFmtId="178" fontId="21" fillId="6" borderId="5" xfId="0" applyNumberFormat="1" applyFont="1" applyFill="1" applyBorder="1" applyAlignment="1">
      <alignment vertical="center"/>
    </xf>
    <xf numFmtId="0" fontId="10" fillId="4" borderId="0" xfId="0" applyFont="1" applyFill="1" applyAlignment="1">
      <alignment wrapText="1" indent="1"/>
    </xf>
    <xf numFmtId="0" fontId="26" fillId="4" borderId="0" xfId="0" applyFont="1" applyFill="1" applyAlignment="1">
      <alignment horizontal="center" vertical="center" textRotation="90"/>
    </xf>
    <xf numFmtId="0" fontId="10" fillId="4" borderId="0" xfId="0" applyFont="1" applyFill="1" applyAlignment="1">
      <alignment horizontal="center"/>
    </xf>
    <xf numFmtId="0" fontId="10" fillId="4" borderId="0" xfId="0" applyFont="1" applyFill="1" applyAlignment="1">
      <alignment vertical="center"/>
    </xf>
    <xf numFmtId="0" fontId="10" fillId="4" borderId="0" xfId="0" applyFont="1" applyFill="1"/>
    <xf numFmtId="0" fontId="9" fillId="4" borderId="0" xfId="0" applyFont="1" applyFill="1" applyAlignment="1">
      <alignment wrapText="1" indent="1"/>
    </xf>
    <xf numFmtId="0" fontId="25" fillId="4" borderId="0" xfId="0" applyFont="1" applyFill="1" applyAlignment="1">
      <alignment horizontal="center" vertical="center" textRotation="90"/>
    </xf>
    <xf numFmtId="0" fontId="9" fillId="4" borderId="0" xfId="0" applyFont="1" applyFill="1" applyAlignment="1">
      <alignment horizontal="center"/>
    </xf>
    <xf numFmtId="0" fontId="9" fillId="4" borderId="0" xfId="0" applyFont="1" applyFill="1" applyAlignment="1">
      <alignment vertical="center"/>
    </xf>
    <xf numFmtId="0" fontId="9" fillId="4" borderId="0" xfId="0" applyFont="1" applyFill="1"/>
    <xf numFmtId="0" fontId="24" fillId="4" borderId="10" xfId="0" applyFont="1" applyFill="1" applyBorder="1" applyProtection="1">
      <protection locked="0"/>
    </xf>
    <xf numFmtId="0" fontId="21" fillId="5" borderId="5" xfId="0" applyFont="1" applyFill="1" applyBorder="1" applyAlignment="1" applyProtection="1">
      <alignment vertical="center"/>
      <protection locked="0"/>
    </xf>
    <xf numFmtId="177" fontId="21" fillId="5" borderId="5" xfId="0" applyNumberFormat="1" applyFont="1" applyFill="1" applyBorder="1" applyAlignment="1" applyProtection="1">
      <alignment vertical="center"/>
      <protection locked="0"/>
    </xf>
    <xf numFmtId="3" fontId="21" fillId="5" borderId="18" xfId="0" applyNumberFormat="1" applyFont="1" applyFill="1" applyBorder="1" applyAlignment="1" applyProtection="1">
      <alignment vertical="center"/>
      <protection locked="0"/>
    </xf>
    <xf numFmtId="3" fontId="21" fillId="5" borderId="20" xfId="0" applyNumberFormat="1" applyFont="1" applyFill="1" applyBorder="1" applyAlignment="1" applyProtection="1">
      <alignment vertical="center"/>
      <protection locked="0"/>
    </xf>
    <xf numFmtId="3" fontId="21" fillId="5" borderId="17" xfId="0" applyNumberFormat="1" applyFont="1" applyFill="1" applyBorder="1" applyAlignment="1" applyProtection="1">
      <alignment vertical="center"/>
      <protection locked="0"/>
    </xf>
    <xf numFmtId="3" fontId="21" fillId="5" borderId="5" xfId="0" applyNumberFormat="1" applyFont="1" applyFill="1" applyBorder="1" applyAlignment="1" applyProtection="1">
      <alignment vertical="center"/>
      <protection locked="0"/>
    </xf>
    <xf numFmtId="0" fontId="23" fillId="0" borderId="0" xfId="0" applyFont="1"/>
    <xf numFmtId="177" fontId="21" fillId="6" borderId="0" xfId="0" applyNumberFormat="1" applyFont="1" applyFill="1"/>
    <xf numFmtId="177" fontId="21" fillId="6" borderId="21" xfId="0" applyNumberFormat="1" applyFont="1" applyFill="1" applyBorder="1"/>
    <xf numFmtId="177" fontId="21" fillId="6" borderId="22" xfId="0" applyNumberFormat="1" applyFont="1" applyFill="1" applyBorder="1"/>
    <xf numFmtId="177" fontId="21" fillId="6" borderId="23" xfId="0" applyNumberFormat="1" applyFont="1" applyFill="1" applyBorder="1"/>
    <xf numFmtId="177" fontId="21" fillId="6" borderId="5" xfId="0" applyNumberFormat="1" applyFont="1" applyFill="1" applyBorder="1"/>
    <xf numFmtId="49" fontId="21" fillId="6" borderId="0" xfId="0" applyNumberFormat="1" applyFont="1" applyFill="1"/>
    <xf numFmtId="49" fontId="21" fillId="6" borderId="21" xfId="0" applyNumberFormat="1" applyFont="1" applyFill="1" applyBorder="1"/>
    <xf numFmtId="49" fontId="21" fillId="6" borderId="22" xfId="0" applyNumberFormat="1" applyFont="1" applyFill="1" applyBorder="1"/>
    <xf numFmtId="49" fontId="21" fillId="6" borderId="23" xfId="0" applyNumberFormat="1" applyFont="1" applyFill="1" applyBorder="1"/>
    <xf numFmtId="49" fontId="21" fillId="6" borderId="5" xfId="0" applyNumberFormat="1" applyFont="1" applyFill="1" applyBorder="1"/>
    <xf numFmtId="0" fontId="22" fillId="4" borderId="0" xfId="0" applyFont="1" applyFill="1" applyAlignment="1">
      <alignment wrapText="1" indent="1"/>
    </xf>
    <xf numFmtId="177" fontId="21" fillId="6" borderId="0" xfId="0" applyNumberFormat="1" applyFont="1" applyFill="1" applyAlignment="1">
      <alignment vertical="center"/>
    </xf>
    <xf numFmtId="177" fontId="21" fillId="6" borderId="21" xfId="0" applyNumberFormat="1" applyFont="1" applyFill="1" applyBorder="1" applyAlignment="1">
      <alignment vertical="center"/>
    </xf>
    <xf numFmtId="177" fontId="21" fillId="6" borderId="22" xfId="0" applyNumberFormat="1" applyFont="1" applyFill="1" applyBorder="1" applyAlignment="1">
      <alignment vertical="center"/>
    </xf>
    <xf numFmtId="177" fontId="21" fillId="6" borderId="23" xfId="0" applyNumberFormat="1" applyFont="1" applyFill="1" applyBorder="1" applyAlignment="1">
      <alignment vertical="center"/>
    </xf>
    <xf numFmtId="177" fontId="21" fillId="6" borderId="5" xfId="0" applyNumberFormat="1" applyFont="1" applyFill="1" applyBorder="1" applyAlignment="1">
      <alignment vertical="center"/>
    </xf>
    <xf numFmtId="49" fontId="21" fillId="6" borderId="0" xfId="0" applyNumberFormat="1" applyFont="1" applyFill="1" applyAlignment="1">
      <alignment vertical="center"/>
    </xf>
    <xf numFmtId="49" fontId="21" fillId="6" borderId="21" xfId="0" applyNumberFormat="1" applyFont="1" applyFill="1" applyBorder="1" applyAlignment="1">
      <alignment vertical="center"/>
    </xf>
    <xf numFmtId="49" fontId="21" fillId="6" borderId="22" xfId="0" applyNumberFormat="1" applyFont="1" applyFill="1" applyBorder="1" applyAlignment="1">
      <alignment vertical="center"/>
    </xf>
    <xf numFmtId="49" fontId="21" fillId="6" borderId="23" xfId="0" applyNumberFormat="1" applyFont="1" applyFill="1" applyBorder="1" applyAlignment="1">
      <alignment vertical="center"/>
    </xf>
    <xf numFmtId="49" fontId="21" fillId="6" borderId="5" xfId="0" applyNumberFormat="1" applyFont="1" applyFill="1" applyBorder="1" applyAlignment="1">
      <alignment vertical="center"/>
    </xf>
    <xf numFmtId="0" fontId="21" fillId="5" borderId="20" xfId="0" applyFont="1" applyFill="1" applyBorder="1"/>
    <xf numFmtId="177" fontId="21" fillId="5" borderId="20" xfId="0" applyNumberFormat="1" applyFont="1" applyFill="1" applyBorder="1"/>
    <xf numFmtId="0" fontId="21" fillId="5" borderId="18" xfId="0" applyFont="1" applyFill="1" applyBorder="1" applyProtection="1">
      <protection locked="0"/>
    </xf>
    <xf numFmtId="0" fontId="21" fillId="5" borderId="17" xfId="0" applyFont="1" applyFill="1" applyBorder="1" applyProtection="1">
      <protection locked="0"/>
    </xf>
    <xf numFmtId="0" fontId="21" fillId="5" borderId="20" xfId="0" applyFont="1" applyFill="1" applyBorder="1" applyProtection="1">
      <protection locked="0"/>
    </xf>
    <xf numFmtId="177" fontId="21" fillId="5" borderId="17" xfId="0" applyNumberFormat="1" applyFont="1" applyFill="1" applyBorder="1" applyProtection="1">
      <protection locked="0"/>
    </xf>
    <xf numFmtId="177" fontId="21" fillId="5" borderId="18" xfId="0" applyNumberFormat="1" applyFont="1" applyFill="1" applyBorder="1" applyProtection="1">
      <protection locked="0"/>
    </xf>
    <xf numFmtId="177" fontId="21" fillId="5" borderId="20" xfId="0" applyNumberFormat="1" applyFont="1" applyFill="1" applyBorder="1" applyProtection="1">
      <protection locked="0"/>
    </xf>
    <xf numFmtId="0" fontId="21" fillId="5" borderId="20" xfId="0" applyFont="1" applyFill="1" applyBorder="1" applyAlignment="1">
      <alignment vertical="center"/>
    </xf>
    <xf numFmtId="177" fontId="21" fillId="5" borderId="20" xfId="0" applyNumberFormat="1" applyFont="1" applyFill="1" applyBorder="1" applyAlignment="1">
      <alignment vertical="center"/>
    </xf>
    <xf numFmtId="0" fontId="21" fillId="5" borderId="18" xfId="0" applyFont="1" applyFill="1" applyBorder="1" applyAlignment="1" applyProtection="1">
      <alignment vertical="center"/>
      <protection locked="0"/>
    </xf>
    <xf numFmtId="0" fontId="21" fillId="5" borderId="17" xfId="0" applyFont="1" applyFill="1" applyBorder="1" applyAlignment="1" applyProtection="1">
      <alignment vertical="center"/>
      <protection locked="0"/>
    </xf>
    <xf numFmtId="0" fontId="21" fillId="5" borderId="20" xfId="0" applyFont="1" applyFill="1" applyBorder="1" applyAlignment="1" applyProtection="1">
      <alignment vertical="center"/>
      <protection locked="0"/>
    </xf>
    <xf numFmtId="177" fontId="21" fillId="5" borderId="17" xfId="0" applyNumberFormat="1" applyFont="1" applyFill="1" applyBorder="1" applyAlignment="1" applyProtection="1">
      <alignment vertical="center"/>
      <protection locked="0"/>
    </xf>
    <xf numFmtId="177" fontId="21" fillId="5" borderId="18" xfId="0" applyNumberFormat="1" applyFont="1" applyFill="1" applyBorder="1" applyAlignment="1" applyProtection="1">
      <alignment vertical="center"/>
      <protection locked="0"/>
    </xf>
    <xf numFmtId="177" fontId="21" fillId="5" borderId="20" xfId="0" applyNumberFormat="1" applyFont="1" applyFill="1" applyBorder="1" applyAlignment="1" applyProtection="1">
      <alignment vertical="center"/>
      <protection locked="0"/>
    </xf>
    <xf numFmtId="0" fontId="12" fillId="0" borderId="0" xfId="0" applyFont="1" applyAlignment="1">
      <alignment horizontal="center" vertical="center" textRotation="90"/>
    </xf>
    <xf numFmtId="0" fontId="11" fillId="0" borderId="0" xfId="0" applyFont="1" applyAlignment="1">
      <alignment horizontal="center" vertical="center"/>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17" fillId="0" borderId="0" xfId="0" applyFont="1" applyAlignment="1">
      <alignment horizontal="center" wrapText="1"/>
    </xf>
    <xf numFmtId="0" fontId="16" fillId="0" borderId="0" xfId="0" applyFont="1" applyAlignment="1">
      <alignment horizontal="center"/>
    </xf>
    <xf numFmtId="0" fontId="15" fillId="0" borderId="0" xfId="0" applyFont="1"/>
    <xf numFmtId="0" fontId="2" fillId="0" borderId="0" xfId="0" applyFont="1" applyAlignment="1">
      <alignment horizontal="center" vertical="center"/>
    </xf>
    <xf numFmtId="0" fontId="14" fillId="0" borderId="0" xfId="0" applyFont="1" applyAlignment="1">
      <alignment vertical="center"/>
    </xf>
    <xf numFmtId="0" fontId="13" fillId="3" borderId="0" xfId="0" applyFont="1" applyFill="1" applyAlignment="1">
      <alignment horizontal="center" vertical="center" wrapText="1"/>
    </xf>
    <xf numFmtId="0" fontId="12" fillId="4" borderId="0" xfId="0" applyFont="1" applyFill="1" applyAlignment="1">
      <alignment horizontal="center" vertical="center" textRotation="90"/>
    </xf>
    <xf numFmtId="0" fontId="11" fillId="4" borderId="0" xfId="0" applyFont="1" applyFill="1" applyAlignment="1">
      <alignment horizontal="center" vertical="center"/>
    </xf>
    <xf numFmtId="0" fontId="10"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wrapText="1"/>
    </xf>
    <xf numFmtId="0" fontId="7" fillId="4" borderId="0" xfId="0" applyFont="1" applyFill="1" applyAlignment="1">
      <alignment horizontal="center" wrapText="1"/>
    </xf>
    <xf numFmtId="0" fontId="6" fillId="4" borderId="0" xfId="0" applyFont="1" applyFill="1" applyAlignment="1">
      <alignment horizontal="center" vertical="center" textRotation="90"/>
    </xf>
    <xf numFmtId="0" fontId="5" fillId="4" borderId="0" xfId="0" applyFont="1" applyFill="1" applyAlignment="1">
      <alignment horizontal="center" vertical="center" textRotation="90"/>
    </xf>
    <xf numFmtId="0" fontId="4" fillId="4" borderId="0" xfId="0" applyFont="1" applyFill="1" applyAlignment="1">
      <alignment horizontal="center"/>
    </xf>
    <xf numFmtId="0" fontId="3" fillId="4" borderId="0" xfId="0" applyFont="1" applyFill="1" applyAlignment="1">
      <alignment horizontal="center" vertical="center"/>
    </xf>
    <xf numFmtId="0" fontId="2" fillId="4" borderId="0" xfId="0" applyFont="1" applyFill="1" applyAlignment="1">
      <alignment horizontal="center" vertical="center"/>
    </xf>
    <xf numFmtId="0" fontId="1" fillId="4" borderId="0" xfId="0" applyFont="1" applyFill="1" applyAlignment="1">
      <alignment horizontal="center" vertical="center"/>
    </xf>
  </cellXfs>
  <cellStyles count="6">
    <cellStyle name="Normal" xfId="0"/>
    <cellStyle name="Percent" xfId="15"/>
    <cellStyle name="Currency" xfId="16"/>
    <cellStyle name="Currency [0]" xfId="17"/>
    <cellStyle name="Comma" xfId="18"/>
    <cellStyle name="Comma [0]" xfId="19"/>
  </cellStyles>
  <dxfs count="5">
    <dxf>
      <fill>
        <patternFill>
          <bgColor rgb="FFFFFFFF"/>
        </patternFill>
      </fill>
    </dxf>
    <dxf>
      <fill>
        <patternFill>
          <bgColor rgb="FFC00000"/>
        </patternFill>
      </fill>
    </dxf>
    <dxf>
      <fill>
        <patternFill>
          <bgColor rgb="FF3CB371"/>
        </patternFill>
      </fill>
    </dxf>
    <dxf>
      <fill>
        <patternFill>
          <bgColor rgb="FFA6A6A6"/>
        </patternFill>
      </fill>
    </dxf>
    <dxf>
      <fill>
        <patternFill>
          <bgColor rgb="FFF8F8F8"/>
        </patternFill>
      </fill>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1419225</xdr:colOff>
      <xdr:row>2</xdr:row>
      <xdr:rowOff>47625</xdr:rowOff>
    </xdr:from>
    <xdr:to>
      <xdr:col>4</xdr:col>
      <xdr:colOff>1295400</xdr:colOff>
      <xdr:row>5</xdr:row>
      <xdr:rowOff>133350</xdr:rowOff>
    </xdr:to>
    <xdr:pic>
      <xdr:nvPicPr>
        <xdr:cNvPr id="1" name="Picture 1"/>
        <xdr:cNvPicPr>
          <a:picLocks noChangeAspect="1"/>
        </xdr:cNvPicPr>
      </xdr:nvPicPr>
      <xdr:blipFill>
        <a:blip r:embed="rId1"/>
        <a:stretch>
          <a:fillRect/>
        </a:stretch>
      </xdr:blipFill>
      <xdr:spPr>
        <a:xfrm>
          <a:off x="2085975" y="714375"/>
          <a:ext cx="1952625" cy="657225"/>
        </a:xfrm>
        <a:prstGeom prst="rect"/>
      </xdr:spPr>
    </xdr:pic>
    <xdr:clientData/>
  </xdr:twoCellAnchor>
  <xdr:twoCellAnchor editAs="oneCell">
    <xdr:from>
      <xdr:col>4</xdr:col>
      <xdr:colOff>2714625</xdr:colOff>
      <xdr:row>2</xdr:row>
      <xdr:rowOff>0</xdr:rowOff>
    </xdr:from>
    <xdr:to>
      <xdr:col>4</xdr:col>
      <xdr:colOff>5238750</xdr:colOff>
      <xdr:row>6</xdr:row>
      <xdr:rowOff>0</xdr:rowOff>
    </xdr:to>
    <xdr:pic>
      <xdr:nvPicPr>
        <xdr:cNvPr id="2" name="Picture 2"/>
        <xdr:cNvPicPr>
          <a:picLocks noChangeAspect="1"/>
        </xdr:cNvPicPr>
      </xdr:nvPicPr>
      <xdr:blipFill>
        <a:blip r:embed="rId2"/>
        <a:stretch>
          <a:fillRect/>
        </a:stretch>
      </xdr:blipFill>
      <xdr:spPr>
        <a:xfrm>
          <a:off x="5457825" y="666750"/>
          <a:ext cx="2524125" cy="76200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1.vml"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2.vml"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row r="1" ht="12.75">
      <c r="A1" t="s">
        <v>0</v>
      </c>
    </row>
  </sheetData>
  <sheetProtection password="F7F9" sheet="1" objects="1" scenarios="1"/>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93"/>
  <sheetViews>
    <sheetView workbookViewId="0" topLeftCell="A1"/>
  </sheetViews>
  <sheetFormatPr defaultRowHeight="12.75"/>
  <sheetData>
    <row r="1" spans="1:2" ht="12.75">
      <c r="A1" t="s">
        <v>232</v>
      </c>
      <c r="B1">
        <f>IFERROR(INDEX({"f-2020,f-2020"},MATCH(Welcome!C12,{"FY: 2020"},0)),"ERROR")</f>
      </c>
    </row>
    <row r="2" spans="1:8" ht="12.75">
      <c r="A2" t="s">
        <v>233</v>
      </c>
      <c r="B2" t="s">
        <v>234</v>
      </c>
      <c r="C2" t="s">
        <v>235</v>
      </c>
      <c r="D2" t="s">
        <v>236</v>
      </c>
      <c r="E2" t="s">
        <v>237</v>
      </c>
      <c r="F2" t="s">
        <v>238</v>
      </c>
      <c r="G2" t="s">
        <v>239</v>
      </c>
      <c r="H2" t="s">
        <v>240</v>
      </c>
    </row>
    <row r="3" spans="1:8" ht="12.75">
      <c r="A3" t="s">
        <v>301</v>
      </c>
      <c r="B3" t="s">
        <v>57</v>
      </c>
      <c r="C3">
        <f>IF('Balance Sheet'!I77="","",'Balance Sheet'!I77)</f>
      </c>
      <c r="D3">
        <f>IF('Balance Sheet'!P77="Pass","Pass",IF('Balance Sheet'!P77="PassBecauseBlankAllowed","Pass",IF('Balance Sheet'!P77="PassBecauseNoConstraints","Pass","Fail")))</f>
      </c>
      <c r="E3" t="s">
        <v>245</v>
      </c>
      <c r="F3">
        <f>IF(FALSE,"Validation",IF('Balance Sheet'!I77="","Validation","Data"))</f>
      </c>
      <c r="G3">
        <f>'Balance Sheet'!S77</f>
      </c>
    </row>
    <row r="4" spans="1:8" ht="12.75">
      <c r="A4" t="s">
        <v>302</v>
      </c>
      <c r="B4" t="s">
        <v>56</v>
      </c>
      <c r="C4">
        <f>IF('Balance Sheet'!I78="","",'Balance Sheet'!I78)</f>
      </c>
      <c r="D4">
        <f>IF('Balance Sheet'!P78="Pass","Pass",IF('Balance Sheet'!P78="PassBecauseBlankAllowed","Pass",IF('Balance Sheet'!P78="PassBecauseNoConstraints","Pass","Fail")))</f>
      </c>
      <c r="E4" t="s">
        <v>245</v>
      </c>
      <c r="F4">
        <f>IF(FALSE,"Validation",IF('Balance Sheet'!I78="","Validation","Data"))</f>
      </c>
      <c r="G4">
        <f>'Balance Sheet'!S78</f>
      </c>
    </row>
    <row r="5" spans="1:8" ht="12.75">
      <c r="A5" t="s">
        <v>303</v>
      </c>
      <c r="B5" t="s">
        <v>55</v>
      </c>
      <c r="C5">
        <f>IF('Balance Sheet'!I79="","",'Balance Sheet'!I79)</f>
      </c>
      <c r="D5">
        <f>IF('Balance Sheet'!P79="Pass","Pass",IF('Balance Sheet'!P79="PassBecauseBlankAllowed","Pass",IF('Balance Sheet'!P79="PassBecauseNoConstraints","Pass","Fail")))</f>
      </c>
      <c r="E5" t="s">
        <v>245</v>
      </c>
      <c r="F5">
        <f>IF(FALSE,"Validation",IF('Balance Sheet'!I79="","Validation","Data"))</f>
      </c>
      <c r="G5">
        <f>'Balance Sheet'!S79</f>
      </c>
    </row>
    <row r="6" spans="1:8" ht="12.75">
      <c r="A6" t="s">
        <v>304</v>
      </c>
      <c r="B6" t="s">
        <v>54</v>
      </c>
      <c r="C6">
        <f>IF('Balance Sheet'!I80="","",'Balance Sheet'!I80)</f>
      </c>
      <c r="D6">
        <f>IF('Balance Sheet'!P80="Pass","Pass",IF('Balance Sheet'!P80="PassBecauseBlankAllowed","Pass",IF('Balance Sheet'!P80="PassBecauseNoConstraints","Pass","Fail")))</f>
      </c>
      <c r="E6" t="s">
        <v>245</v>
      </c>
      <c r="F6">
        <f>IF(FALSE,"Validation",IF('Balance Sheet'!I80="","Validation","Data"))</f>
      </c>
      <c r="G6">
        <f>'Balance Sheet'!S80</f>
      </c>
    </row>
    <row r="7" spans="1:8" ht="12.75">
      <c r="B7" t="s">
        <v>53</v>
      </c>
      <c r="C7">
        <f>IF('Balance Sheet'!I83="","",'Balance Sheet'!I83)</f>
      </c>
      <c r="D7">
        <f>IF('Balance Sheet'!P83="Pass","Pass",IF('Balance Sheet'!P83="PassBecauseBlankAllowed","Pass",IF('Balance Sheet'!P83="PassBecauseNoConstraints","Pass","Fail")))</f>
      </c>
      <c r="F7">
        <f>IF(TRUE,"Validation",IF('Balance Sheet'!I83="","Validation","Data"))</f>
      </c>
      <c r="G7">
        <f>'Balance Sheet'!S83</f>
      </c>
      <c r="H7" t="s">
        <v>305</v>
      </c>
    </row>
    <row r="8" spans="1:8" ht="12.75">
      <c r="A8" t="s">
        <v>306</v>
      </c>
      <c r="B8" t="s">
        <v>51</v>
      </c>
      <c r="C8">
        <f>IF('Balance Sheet'!I91="","",'Balance Sheet'!I91)</f>
      </c>
      <c r="D8">
        <f>IF('Balance Sheet'!P91="Pass","Pass",IF('Balance Sheet'!P91="PassBecauseBlankAllowed","Pass",IF('Balance Sheet'!P91="PassBecauseNoConstraints","Pass","Fail")))</f>
      </c>
      <c r="E8" t="s">
        <v>245</v>
      </c>
      <c r="F8">
        <f>IF(FALSE,"Validation",IF('Balance Sheet'!I91="","Validation","Data"))</f>
      </c>
      <c r="G8">
        <f>'Balance Sheet'!S91</f>
      </c>
    </row>
    <row r="9" spans="1:8" ht="12.75">
      <c r="B9" t="s">
        <v>50</v>
      </c>
      <c r="C9">
        <f>IF('Balance Sheet'!I96="","",'Balance Sheet'!I96)</f>
      </c>
      <c r="D9">
        <f>IF('Balance Sheet'!P96="Pass","Pass",IF('Balance Sheet'!P96="PassBecauseBlankAllowed","Pass",IF('Balance Sheet'!P96="PassBecauseNoConstraints","Pass","Fail")))</f>
      </c>
      <c r="F9">
        <f>IF(TRUE,"Validation",IF('Balance Sheet'!I96="","Validation","Data"))</f>
      </c>
      <c r="G9">
        <f>'Balance Sheet'!S96</f>
      </c>
      <c r="H9" t="s">
        <v>307</v>
      </c>
    </row>
    <row r="10" spans="1:8" ht="12.75">
      <c r="A10" t="s">
        <v>308</v>
      </c>
      <c r="B10" t="s">
        <v>47</v>
      </c>
      <c r="C10">
        <f>IF('Balance Sheet'!I111="","",'Balance Sheet'!I111)</f>
      </c>
      <c r="D10">
        <f>IF('Balance Sheet'!P111="Pass","Pass",IF('Balance Sheet'!P111="PassBecauseBlankAllowed","Pass",IF('Balance Sheet'!P111="PassBecauseNoConstraints","Pass","Fail")))</f>
      </c>
      <c r="E10" t="s">
        <v>245</v>
      </c>
      <c r="F10">
        <f>IF(FALSE,"Validation",IF('Balance Sheet'!I111="","Validation","Data"))</f>
      </c>
      <c r="G10">
        <f>'Balance Sheet'!S111</f>
      </c>
    </row>
    <row r="11" spans="1:8" ht="12.75">
      <c r="A11" t="s">
        <v>309</v>
      </c>
      <c r="B11" t="s">
        <v>46</v>
      </c>
      <c r="C11">
        <f>IF('Balance Sheet'!I112="","",'Balance Sheet'!I112)</f>
      </c>
      <c r="D11">
        <f>IF('Balance Sheet'!P112="Pass","Pass",IF('Balance Sheet'!P112="PassBecauseBlankAllowed","Pass",IF('Balance Sheet'!P112="PassBecauseNoConstraints","Pass","Fail")))</f>
      </c>
      <c r="E11" t="s">
        <v>245</v>
      </c>
      <c r="F11">
        <f>IF(FALSE,"Validation",IF('Balance Sheet'!I112="","Validation","Data"))</f>
      </c>
      <c r="G11">
        <f>'Balance Sheet'!S112</f>
      </c>
    </row>
    <row r="12" spans="1:8" ht="12.75">
      <c r="A12" t="s">
        <v>310</v>
      </c>
      <c r="B12" t="s">
        <v>45</v>
      </c>
      <c r="C12">
        <f>IF('Balance Sheet'!I113="","",'Balance Sheet'!I113)</f>
      </c>
      <c r="D12">
        <f>IF('Balance Sheet'!P113="Pass","Pass",IF('Balance Sheet'!P113="PassBecauseBlankAllowed","Pass",IF('Balance Sheet'!P113="PassBecauseNoConstraints","Pass","Fail")))</f>
      </c>
      <c r="E12" t="s">
        <v>245</v>
      </c>
      <c r="F12">
        <f>IF(FALSE,"Validation",IF('Balance Sheet'!I113="","Validation","Data"))</f>
      </c>
      <c r="G12">
        <f>'Balance Sheet'!S113</f>
      </c>
    </row>
    <row r="13" spans="1:8" ht="12.75">
      <c r="B13" t="s">
        <v>44</v>
      </c>
      <c r="C13">
        <f>IF('Balance Sheet'!I116="","",'Balance Sheet'!I116)</f>
      </c>
      <c r="D13">
        <f>IF('Balance Sheet'!P116="Pass","Pass",IF('Balance Sheet'!P116="PassBecauseBlankAllowed","Pass",IF('Balance Sheet'!P116="PassBecauseNoConstraints","Pass","Fail")))</f>
      </c>
      <c r="F13">
        <f>IF(TRUE,"Validation",IF('Balance Sheet'!I116="","Validation","Data"))</f>
      </c>
      <c r="G13">
        <f>'Balance Sheet'!S116</f>
      </c>
      <c r="H13" t="s">
        <v>311</v>
      </c>
    </row>
    <row r="14" spans="1:8" ht="12.75">
      <c r="A14" t="s">
        <v>312</v>
      </c>
      <c r="B14" t="s">
        <v>42</v>
      </c>
      <c r="C14">
        <f>IF('Balance Sheet'!I124="","",'Balance Sheet'!I124)</f>
      </c>
      <c r="D14">
        <f>IF('Balance Sheet'!P124="Pass","Pass",IF('Balance Sheet'!P124="PassBecauseBlankAllowed","Pass",IF('Balance Sheet'!P124="PassBecauseNoConstraints","Pass","Fail")))</f>
      </c>
      <c r="E14" t="s">
        <v>245</v>
      </c>
      <c r="F14">
        <f>IF(FALSE,"Validation",IF('Balance Sheet'!I124="","Validation","Data"))</f>
      </c>
      <c r="G14">
        <f>'Balance Sheet'!S124</f>
      </c>
    </row>
    <row r="15" spans="1:8" ht="12.75">
      <c r="A15" t="s">
        <v>313</v>
      </c>
      <c r="B15" t="s">
        <v>41</v>
      </c>
      <c r="C15">
        <f>IF('Balance Sheet'!I125="","",'Balance Sheet'!I125)</f>
      </c>
      <c r="D15">
        <f>IF('Balance Sheet'!P125="Pass","Pass",IF('Balance Sheet'!P125="PassBecauseBlankAllowed","Pass",IF('Balance Sheet'!P125="PassBecauseNoConstraints","Pass","Fail")))</f>
      </c>
      <c r="E15" t="s">
        <v>245</v>
      </c>
      <c r="F15">
        <f>IF(FALSE,"Validation",IF('Balance Sheet'!I125="","Validation","Data"))</f>
      </c>
      <c r="G15">
        <f>'Balance Sheet'!S125</f>
      </c>
    </row>
    <row r="16" spans="1:8" ht="12.75">
      <c r="B16" t="s">
        <v>39</v>
      </c>
      <c r="C16">
        <f>IF('Balance Sheet'!I128="","",'Balance Sheet'!I128)</f>
      </c>
      <c r="D16">
        <f>IF('Balance Sheet'!P128="Pass","Pass",IF('Balance Sheet'!P128="PassBecauseBlankAllowed","Pass",IF('Balance Sheet'!P128="PassBecauseNoConstraints","Pass","Fail")))</f>
      </c>
      <c r="F16">
        <f>IF(TRUE,"Validation",IF('Balance Sheet'!I128="","Validation","Data"))</f>
      </c>
      <c r="G16">
        <f>'Balance Sheet'!S128</f>
      </c>
      <c r="H16" t="s">
        <v>314</v>
      </c>
    </row>
    <row r="17" spans="1:8" ht="12.75">
      <c r="B17" t="s">
        <v>38</v>
      </c>
      <c r="C17">
        <f>IF('Balance Sheet'!I133="","",'Balance Sheet'!I133)</f>
      </c>
      <c r="D17">
        <f>IF('Balance Sheet'!P133="Pass","Pass",IF('Balance Sheet'!P133="PassBecauseBlankAllowed","Pass",IF('Balance Sheet'!P133="PassBecauseNoConstraints","Pass","Fail")))</f>
      </c>
      <c r="F17">
        <f>IF(TRUE,"Validation",IF('Balance Sheet'!I133="","Validation","Data"))</f>
      </c>
      <c r="G17">
        <f>'Balance Sheet'!S133</f>
      </c>
      <c r="H17" t="s">
        <v>315</v>
      </c>
    </row>
    <row r="18" spans="1:8" ht="12.75">
      <c r="A18" t="s">
        <v>316</v>
      </c>
      <c r="B18" t="s">
        <v>36</v>
      </c>
      <c r="C18">
        <f>IF('Balance Sheet'!I141="","",'Balance Sheet'!I141)</f>
      </c>
      <c r="D18">
        <f>IF('Balance Sheet'!P141="Pass","Pass",IF('Balance Sheet'!P141="PassBecauseBlankAllowed","Pass",IF('Balance Sheet'!P141="PassBecauseNoConstraints","Pass","Fail")))</f>
      </c>
      <c r="E18" t="s">
        <v>245</v>
      </c>
      <c r="F18">
        <f>IF(FALSE,"Validation",IF('Balance Sheet'!I141="","Validation","Data"))</f>
      </c>
      <c r="G18">
        <f>'Balance Sheet'!S141</f>
      </c>
    </row>
    <row r="19" spans="1:8" ht="12.75">
      <c r="A19" t="s">
        <v>317</v>
      </c>
      <c r="B19" t="s">
        <v>35</v>
      </c>
      <c r="C19">
        <f>IF('Balance Sheet'!I142="","",'Balance Sheet'!I142)</f>
      </c>
      <c r="D19">
        <f>IF('Balance Sheet'!P142="Pass","Pass",IF('Balance Sheet'!P142="PassBecauseBlankAllowed","Pass",IF('Balance Sheet'!P142="PassBecauseNoConstraints","Pass","Fail")))</f>
      </c>
      <c r="E19" t="s">
        <v>245</v>
      </c>
      <c r="F19">
        <f>IF(FALSE,"Validation",IF('Balance Sheet'!I142="","Validation","Data"))</f>
      </c>
      <c r="G19">
        <f>'Balance Sheet'!S142</f>
      </c>
    </row>
    <row r="20" spans="1:8" ht="12.75">
      <c r="B20" t="s">
        <v>34</v>
      </c>
      <c r="C20">
        <f>IF('Balance Sheet'!I145="","",'Balance Sheet'!I145)</f>
      </c>
      <c r="D20">
        <f>IF('Balance Sheet'!P145="Pass","Pass",IF('Balance Sheet'!P145="PassBecauseBlankAllowed","Pass",IF('Balance Sheet'!P145="PassBecauseNoConstraints","Pass","Fail")))</f>
      </c>
      <c r="F20">
        <f>IF(TRUE,"Validation",IF('Balance Sheet'!I145="","Validation","Data"))</f>
      </c>
      <c r="G20">
        <f>'Balance Sheet'!S145</f>
      </c>
      <c r="H20" t="s">
        <v>318</v>
      </c>
    </row>
    <row r="21" spans="1:8" ht="12.75">
      <c r="B21" t="s">
        <v>31</v>
      </c>
      <c r="C21">
        <f>IF('Balance Sheet'!I150="","",'Balance Sheet'!I150)</f>
      </c>
      <c r="D21">
        <f>IF('Balance Sheet'!P150="Pass","Pass",IF('Balance Sheet'!P150="PassBecauseBlankAllowed","Pass",IF('Balance Sheet'!P150="PassBecauseNoConstraints","Pass","Fail")))</f>
      </c>
      <c r="F21">
        <f>IF(TRUE,"Validation",IF('Balance Sheet'!I150="","Validation","Data"))</f>
      </c>
      <c r="G21">
        <f>'Balance Sheet'!S150</f>
      </c>
      <c r="H21" t="s">
        <v>315</v>
      </c>
    </row>
    <row r="22" spans="1:8" ht="12.75">
      <c r="B22" t="s">
        <v>30</v>
      </c>
      <c r="C22">
        <f>IF('Balance Sheet'!I155="","",'Balance Sheet'!I155)</f>
      </c>
      <c r="D22">
        <f>IF('Balance Sheet'!P155="Pass","Pass",IF('Balance Sheet'!P155="PassBecauseBlankAllowed","Pass",IF('Balance Sheet'!P155="PassBecauseNoConstraints","Pass","Fail")))</f>
      </c>
      <c r="F22">
        <f>IF(TRUE,"Validation",IF('Balance Sheet'!I155="","Validation","Data"))</f>
      </c>
      <c r="G22">
        <f>'Balance Sheet'!S155</f>
      </c>
      <c r="H22" t="s">
        <v>315</v>
      </c>
    </row>
    <row r="23" spans="1:8" ht="12.75">
      <c r="A23" t="s">
        <v>319</v>
      </c>
      <c r="B23" t="s">
        <v>22</v>
      </c>
      <c r="C23">
        <f>IF('Balance Sheet'!I163="","",'Balance Sheet'!I163)</f>
      </c>
      <c r="D23">
        <f>IF('Balance Sheet'!P163="Pass","Pass",IF('Balance Sheet'!P163="PassBecauseBlankAllowed","Pass",IF('Balance Sheet'!P163="PassBecauseNoConstraints","Pass","Fail")))</f>
      </c>
      <c r="E23" t="s">
        <v>245</v>
      </c>
      <c r="F23">
        <f>IF(FALSE,"Validation",IF('Balance Sheet'!I163="","Validation","Data"))</f>
      </c>
      <c r="G23">
        <f>'Balance Sheet'!S163</f>
      </c>
    </row>
    <row r="24" spans="1:8" ht="12.75">
      <c r="A24" t="s">
        <v>320</v>
      </c>
      <c r="B24" t="s">
        <v>25</v>
      </c>
      <c r="C24">
        <f>IF('Balance Sheet'!I164="","",'Balance Sheet'!I164)</f>
      </c>
      <c r="D24">
        <f>IF('Balance Sheet'!P164="Pass","Pass",IF('Balance Sheet'!P164="PassBecauseBlankAllowed","Pass",IF('Balance Sheet'!P164="PassBecauseNoConstraints","Pass","Fail")))</f>
      </c>
      <c r="E24" t="s">
        <v>245</v>
      </c>
      <c r="F24">
        <f>IF(FALSE,"Validation",IF('Balance Sheet'!I164="","Validation","Data"))</f>
      </c>
      <c r="G24">
        <f>'Balance Sheet'!S164</f>
      </c>
    </row>
    <row r="25" spans="1:8" ht="12.75">
      <c r="A25" t="s">
        <v>321</v>
      </c>
      <c r="B25" t="s">
        <v>24</v>
      </c>
      <c r="C25">
        <f>IF('Balance Sheet'!I165="","",'Balance Sheet'!I165)</f>
      </c>
      <c r="D25">
        <f>IF('Balance Sheet'!P165="Pass","Pass",IF('Balance Sheet'!P165="PassBecauseBlankAllowed","Pass",IF('Balance Sheet'!P165="PassBecauseNoConstraints","Pass","Fail")))</f>
      </c>
      <c r="E25" t="s">
        <v>245</v>
      </c>
      <c r="F25">
        <f>IF(FALSE,"Validation",IF('Balance Sheet'!I165="","Validation","Data"))</f>
      </c>
      <c r="G25">
        <f>'Balance Sheet'!S165</f>
      </c>
    </row>
    <row r="26" spans="1:8" ht="12.75">
      <c r="A26" t="s">
        <v>322</v>
      </c>
      <c r="B26" t="s">
        <v>168</v>
      </c>
      <c r="C26">
        <f>IF('Income Statement'!I25="","",'Income Statement'!I25)</f>
      </c>
      <c r="D26">
        <f>IF('Income Statement'!P25="Pass","Pass",IF('Income Statement'!P25="PassBecauseBlankAllowed","Pass",IF('Income Statement'!P25="PassBecauseNoConstraints","Pass","Fail")))</f>
      </c>
      <c r="E26" t="s">
        <v>255</v>
      </c>
      <c r="F26">
        <f>IF(FALSE,"Validation",IF('Income Statement'!I25="","Validation","Data"))</f>
      </c>
      <c r="G26">
        <f>'Income Statement'!S25</f>
      </c>
    </row>
    <row r="27" spans="1:8" ht="12.75">
      <c r="A27" t="s">
        <v>323</v>
      </c>
      <c r="B27" t="s">
        <v>167</v>
      </c>
      <c r="C27">
        <f>IF('Income Statement'!I26="","",'Income Statement'!I26)</f>
      </c>
      <c r="D27">
        <f>IF('Income Statement'!P26="Pass","Pass",IF('Income Statement'!P26="PassBecauseBlankAllowed","Pass",IF('Income Statement'!P26="PassBecauseNoConstraints","Pass","Fail")))</f>
      </c>
      <c r="E27" t="s">
        <v>255</v>
      </c>
      <c r="F27">
        <f>IF(FALSE,"Validation",IF('Income Statement'!I26="","Validation","Data"))</f>
      </c>
      <c r="G27">
        <f>'Income Statement'!S26</f>
      </c>
    </row>
    <row r="28" spans="1:8" ht="12.75">
      <c r="A28" t="s">
        <v>324</v>
      </c>
      <c r="B28" t="s">
        <v>166</v>
      </c>
      <c r="C28">
        <f>IF('Income Statement'!I27="","",'Income Statement'!I27)</f>
      </c>
      <c r="D28">
        <f>IF('Income Statement'!P27="Pass","Pass",IF('Income Statement'!P27="PassBecauseBlankAllowed","Pass",IF('Income Statement'!P27="PassBecauseNoConstraints","Pass","Fail")))</f>
      </c>
      <c r="E28" t="s">
        <v>255</v>
      </c>
      <c r="F28">
        <f>IF(FALSE,"Validation",IF('Income Statement'!I27="","Validation","Data"))</f>
      </c>
      <c r="G28">
        <f>'Income Statement'!S27</f>
      </c>
    </row>
    <row r="29" spans="1:8" ht="12.75">
      <c r="A29" t="s">
        <v>325</v>
      </c>
      <c r="B29" t="s">
        <v>165</v>
      </c>
      <c r="C29">
        <f>IF('Income Statement'!I28="","",'Income Statement'!I28)</f>
      </c>
      <c r="D29">
        <f>IF('Income Statement'!P28="Pass","Pass",IF('Income Statement'!P28="PassBecauseBlankAllowed","Pass",IF('Income Statement'!P28="PassBecauseNoConstraints","Pass","Fail")))</f>
      </c>
      <c r="E29" t="s">
        <v>255</v>
      </c>
      <c r="F29">
        <f>IF(FALSE,"Validation",IF('Income Statement'!I28="","Validation","Data"))</f>
      </c>
      <c r="G29">
        <f>'Income Statement'!S28</f>
      </c>
    </row>
    <row r="30" spans="1:8" ht="12.75">
      <c r="B30" t="s">
        <v>164</v>
      </c>
      <c r="C30">
        <f>IF('Income Statement'!I31="","",'Income Statement'!I31)</f>
      </c>
      <c r="D30">
        <f>IF('Income Statement'!P31="Pass","Pass",IF('Income Statement'!P31="PassBecauseBlankAllowed","Pass",IF('Income Statement'!P31="PassBecauseNoConstraints","Pass","Fail")))</f>
      </c>
      <c r="F30">
        <f>IF(TRUE,"Validation",IF('Income Statement'!I31="","Validation","Data"))</f>
      </c>
      <c r="G30">
        <f>'Income Statement'!S31</f>
      </c>
      <c r="H30" t="s">
        <v>326</v>
      </c>
    </row>
    <row r="31" spans="1:8" ht="12.75">
      <c r="A31" t="s">
        <v>327</v>
      </c>
      <c r="B31" t="s">
        <v>159</v>
      </c>
      <c r="C31">
        <f>IF('Income Statement'!I48="","",'Income Statement'!I48)</f>
      </c>
      <c r="D31">
        <f>IF('Income Statement'!P48="Pass","Pass",IF('Income Statement'!P48="PassBecauseBlankAllowed","Pass",IF('Income Statement'!P48="PassBecauseNoConstraints","Pass","Fail")))</f>
      </c>
      <c r="E31" t="s">
        <v>255</v>
      </c>
      <c r="F31">
        <f>IF(FALSE,"Validation",IF('Income Statement'!I48="","Validation","Data"))</f>
      </c>
      <c r="G31">
        <f>'Income Statement'!S48</f>
      </c>
    </row>
    <row r="32" spans="1:8" ht="12.75">
      <c r="A32" t="s">
        <v>328</v>
      </c>
      <c r="B32" t="s">
        <v>158</v>
      </c>
      <c r="C32">
        <f>IF('Income Statement'!I49="","",'Income Statement'!I49)</f>
      </c>
      <c r="D32">
        <f>IF('Income Statement'!P49="Pass","Pass",IF('Income Statement'!P49="PassBecauseBlankAllowed","Pass",IF('Income Statement'!P49="PassBecauseNoConstraints","Pass","Fail")))</f>
      </c>
      <c r="E32" t="s">
        <v>255</v>
      </c>
      <c r="F32">
        <f>IF(FALSE,"Validation",IF('Income Statement'!I49="","Validation","Data"))</f>
      </c>
      <c r="G32">
        <f>'Income Statement'!S49</f>
      </c>
    </row>
    <row r="33" spans="1:8" ht="12.75">
      <c r="A33" t="s">
        <v>329</v>
      </c>
      <c r="B33" t="s">
        <v>157</v>
      </c>
      <c r="C33">
        <f>IF('Income Statement'!I50="","",'Income Statement'!I50)</f>
      </c>
      <c r="D33">
        <f>IF('Income Statement'!P50="Pass","Pass",IF('Income Statement'!P50="PassBecauseBlankAllowed","Pass",IF('Income Statement'!P50="PassBecauseNoConstraints","Pass","Fail")))</f>
      </c>
      <c r="E33" t="s">
        <v>255</v>
      </c>
      <c r="F33">
        <f>IF(FALSE,"Validation",IF('Income Statement'!I50="","Validation","Data"))</f>
      </c>
      <c r="G33">
        <f>'Income Statement'!S50</f>
      </c>
    </row>
    <row r="34" spans="1:8" ht="12.75">
      <c r="A34" t="s">
        <v>330</v>
      </c>
      <c r="B34" t="s">
        <v>64</v>
      </c>
      <c r="C34">
        <f>IF('Income Statement'!I51="","",'Income Statement'!I51)</f>
      </c>
      <c r="D34">
        <f>IF('Income Statement'!P51="Pass","Pass",IF('Income Statement'!P51="PassBecauseBlankAllowed","Pass",IF('Income Statement'!P51="PassBecauseNoConstraints","Pass","Fail")))</f>
      </c>
      <c r="E34" t="s">
        <v>255</v>
      </c>
      <c r="F34">
        <f>IF(FALSE,"Validation",IF('Income Statement'!I51="","Validation","Data"))</f>
      </c>
      <c r="G34">
        <f>'Income Statement'!S51</f>
      </c>
    </row>
    <row r="35" spans="1:8" ht="12.75">
      <c r="B35" t="s">
        <v>156</v>
      </c>
      <c r="C35">
        <f>IF('Income Statement'!I54="","",'Income Statement'!I54)</f>
      </c>
      <c r="D35">
        <f>IF('Income Statement'!P54="Pass","Pass",IF('Income Statement'!P54="PassBecauseBlankAllowed","Pass",IF('Income Statement'!P54="PassBecauseNoConstraints","Pass","Fail")))</f>
      </c>
      <c r="F35">
        <f>IF(TRUE,"Validation",IF('Income Statement'!I54="","Validation","Data"))</f>
      </c>
      <c r="G35">
        <f>'Income Statement'!S54</f>
      </c>
      <c r="H35" t="s">
        <v>331</v>
      </c>
    </row>
    <row r="36" spans="1:8" ht="12.75">
      <c r="A36" t="s">
        <v>332</v>
      </c>
      <c r="B36" t="s">
        <v>153</v>
      </c>
      <c r="C36">
        <f>IF('Income Statement'!I69="","",'Income Statement'!I69)</f>
      </c>
      <c r="D36">
        <f>IF('Income Statement'!P69="Pass","Pass",IF('Income Statement'!P69="PassBecauseBlankAllowed","Pass",IF('Income Statement'!P69="PassBecauseNoConstraints","Pass","Fail")))</f>
      </c>
      <c r="E36" t="s">
        <v>255</v>
      </c>
      <c r="F36">
        <f>IF(FALSE,"Validation",IF('Income Statement'!I69="","Validation","Data"))</f>
      </c>
      <c r="G36">
        <f>'Income Statement'!S69</f>
      </c>
    </row>
    <row r="37" spans="1:8" ht="12.75">
      <c r="A37" t="s">
        <v>333</v>
      </c>
      <c r="B37" t="s">
        <v>152</v>
      </c>
      <c r="C37">
        <f>IF('Income Statement'!I70="","",'Income Statement'!I70)</f>
      </c>
      <c r="D37">
        <f>IF('Income Statement'!P70="Pass","Pass",IF('Income Statement'!P70="PassBecauseBlankAllowed","Pass",IF('Income Statement'!P70="PassBecauseNoConstraints","Pass","Fail")))</f>
      </c>
      <c r="E37" t="s">
        <v>255</v>
      </c>
      <c r="F37">
        <f>IF(FALSE,"Validation",IF('Income Statement'!I70="","Validation","Data"))</f>
      </c>
      <c r="G37">
        <f>'Income Statement'!S70</f>
      </c>
    </row>
    <row r="38" spans="1:8" ht="12.75">
      <c r="B38" t="s">
        <v>151</v>
      </c>
      <c r="C38">
        <f>IF('Income Statement'!I73="","",'Income Statement'!I73)</f>
      </c>
      <c r="D38">
        <f>IF('Income Statement'!P73="Pass","Pass",IF('Income Statement'!P73="PassBecauseBlankAllowed","Pass",IF('Income Statement'!P73="PassBecauseNoConstraints","Pass","Fail")))</f>
      </c>
      <c r="F38">
        <f>IF(TRUE,"Validation",IF('Income Statement'!I73="","Validation","Data"))</f>
      </c>
      <c r="G38">
        <f>'Income Statement'!S73</f>
      </c>
      <c r="H38" t="s">
        <v>334</v>
      </c>
    </row>
    <row r="39" spans="1:8" ht="12.75">
      <c r="B39" t="s">
        <v>150</v>
      </c>
      <c r="C39">
        <f>IF('Income Statement'!I78="","",'Income Statement'!I78)</f>
      </c>
      <c r="D39">
        <f>IF('Income Statement'!P78="Pass","Pass",IF('Income Statement'!P78="PassBecauseBlankAllowed","Pass",IF('Income Statement'!P78="PassBecauseNoConstraints","Pass","Fail")))</f>
      </c>
      <c r="F39">
        <f>IF(TRUE,"Validation",IF('Income Statement'!I78="","Validation","Data"))</f>
      </c>
      <c r="G39">
        <f>'Income Statement'!S78</f>
      </c>
      <c r="H39" t="s">
        <v>315</v>
      </c>
    </row>
    <row r="40" spans="1:8" ht="12.75">
      <c r="B40" t="s">
        <v>149</v>
      </c>
      <c r="C40">
        <f>IF('Income Statement'!I79="","",'Income Statement'!I79)</f>
      </c>
      <c r="D40">
        <f>IF('Income Statement'!P79="Pass","Pass",IF('Income Statement'!P79="PassBecauseBlankAllowed","Pass",IF('Income Statement'!P79="PassBecauseNoConstraints","Pass","Fail")))</f>
      </c>
      <c r="F40">
        <f>IF(TRUE,"Validation",IF('Income Statement'!I79="","Validation","Data"))</f>
      </c>
      <c r="G40">
        <f>'Income Statement'!S79</f>
      </c>
      <c r="H40" t="s">
        <v>315</v>
      </c>
    </row>
    <row r="41" spans="1:8" ht="12.75">
      <c r="B41" t="s">
        <v>148</v>
      </c>
      <c r="C41">
        <f>IF('Income Statement'!I80="","",('Income Statement'!I80/100))</f>
      </c>
      <c r="D41">
        <f>IF('Income Statement'!P80="Pass","Pass",IF('Income Statement'!P80="PassBecauseBlankAllowed","Pass",IF('Income Statement'!P80="PassBecauseNoConstraints","Pass","Fail")))</f>
      </c>
      <c r="F41">
        <f>IF(TRUE,"Validation",IF('Income Statement'!I80="","Validation","Data"))</f>
      </c>
      <c r="G41">
        <f>'Income Statement'!S80</f>
      </c>
      <c r="H41" t="s">
        <v>315</v>
      </c>
    </row>
    <row r="42" spans="1:8" ht="12.75">
      <c r="A42" t="s">
        <v>335</v>
      </c>
      <c r="B42" t="s">
        <v>143</v>
      </c>
      <c r="C42">
        <f>IF('Income Statement'!I99="","",'Income Statement'!I99)</f>
      </c>
      <c r="D42">
        <f>IF('Income Statement'!P99="Pass","Pass",IF('Income Statement'!P99="PassBecauseBlankAllowed","Pass",IF('Income Statement'!P99="PassBecauseNoConstraints","Pass","Fail")))</f>
      </c>
      <c r="E42" t="s">
        <v>255</v>
      </c>
      <c r="F42">
        <f>IF(FALSE,"Validation",IF('Income Statement'!I99="","Validation","Data"))</f>
      </c>
      <c r="G42">
        <f>'Income Statement'!S99</f>
      </c>
    </row>
    <row r="43" spans="1:8" ht="12.75">
      <c r="A43" t="s">
        <v>336</v>
      </c>
      <c r="B43" t="s">
        <v>142</v>
      </c>
      <c r="C43">
        <f>IF('Income Statement'!I100="","",'Income Statement'!I100)</f>
      </c>
      <c r="D43">
        <f>IF('Income Statement'!P100="Pass","Pass",IF('Income Statement'!P100="PassBecauseBlankAllowed","Pass",IF('Income Statement'!P100="PassBecauseNoConstraints","Pass","Fail")))</f>
      </c>
      <c r="E43" t="s">
        <v>255</v>
      </c>
      <c r="F43">
        <f>IF(FALSE,"Validation",IF('Income Statement'!I100="","Validation","Data"))</f>
      </c>
      <c r="G43">
        <f>'Income Statement'!S100</f>
      </c>
    </row>
    <row r="44" spans="1:8" ht="12.75">
      <c r="A44" t="s">
        <v>337</v>
      </c>
      <c r="B44" t="s">
        <v>141</v>
      </c>
      <c r="C44">
        <f>IF('Income Statement'!I101="","",'Income Statement'!I101)</f>
      </c>
      <c r="D44">
        <f>IF('Income Statement'!P101="Pass","Pass",IF('Income Statement'!P101="PassBecauseBlankAllowed","Pass",IF('Income Statement'!P101="PassBecauseNoConstraints","Pass","Fail")))</f>
      </c>
      <c r="E44" t="s">
        <v>255</v>
      </c>
      <c r="F44">
        <f>IF(FALSE,"Validation",IF('Income Statement'!I101="","Validation","Data"))</f>
      </c>
      <c r="G44">
        <f>'Income Statement'!S101</f>
      </c>
    </row>
    <row r="45" spans="1:8" ht="12.75">
      <c r="A45" t="s">
        <v>338</v>
      </c>
      <c r="B45" t="s">
        <v>140</v>
      </c>
      <c r="C45">
        <f>IF('Income Statement'!I102="","",'Income Statement'!I102)</f>
      </c>
      <c r="D45">
        <f>IF('Income Statement'!P102="Pass","Pass",IF('Income Statement'!P102="PassBecauseBlankAllowed","Pass",IF('Income Statement'!P102="PassBecauseNoConstraints","Pass","Fail")))</f>
      </c>
      <c r="E45" t="s">
        <v>255</v>
      </c>
      <c r="F45">
        <f>IF(FALSE,"Validation",IF('Income Statement'!I102="","Validation","Data"))</f>
      </c>
      <c r="G45">
        <f>'Income Statement'!S102</f>
      </c>
    </row>
    <row r="46" spans="1:8" ht="12.75">
      <c r="A46" t="s">
        <v>339</v>
      </c>
      <c r="B46" t="s">
        <v>139</v>
      </c>
      <c r="C46">
        <f>IF('Income Statement'!I103="","",'Income Statement'!I103)</f>
      </c>
      <c r="D46">
        <f>IF('Income Statement'!P103="Pass","Pass",IF('Income Statement'!P103="PassBecauseBlankAllowed","Pass",IF('Income Statement'!P103="PassBecauseNoConstraints","Pass","Fail")))</f>
      </c>
      <c r="E46" t="s">
        <v>255</v>
      </c>
      <c r="F46">
        <f>IF(FALSE,"Validation",IF('Income Statement'!I103="","Validation","Data"))</f>
      </c>
      <c r="G46">
        <f>'Income Statement'!S103</f>
      </c>
    </row>
    <row r="47" spans="1:8" ht="12.75">
      <c r="A47" t="s">
        <v>340</v>
      </c>
      <c r="B47" t="s">
        <v>138</v>
      </c>
      <c r="C47">
        <f>IF('Income Statement'!I104="","",'Income Statement'!I104)</f>
      </c>
      <c r="D47">
        <f>IF('Income Statement'!P104="Pass","Pass",IF('Income Statement'!P104="PassBecauseBlankAllowed","Pass",IF('Income Statement'!P104="PassBecauseNoConstraints","Pass","Fail")))</f>
      </c>
      <c r="E47" t="s">
        <v>255</v>
      </c>
      <c r="F47">
        <f>IF(FALSE,"Validation",IF('Income Statement'!I104="","Validation","Data"))</f>
      </c>
      <c r="G47">
        <f>'Income Statement'!S104</f>
      </c>
    </row>
    <row r="48" spans="1:8" ht="12.75">
      <c r="A48" t="s">
        <v>341</v>
      </c>
      <c r="B48" t="s">
        <v>137</v>
      </c>
      <c r="C48">
        <f>IF('Income Statement'!I105="","",'Income Statement'!I105)</f>
      </c>
      <c r="D48">
        <f>IF('Income Statement'!P105="Pass","Pass",IF('Income Statement'!P105="PassBecauseBlankAllowed","Pass",IF('Income Statement'!P105="PassBecauseNoConstraints","Pass","Fail")))</f>
      </c>
      <c r="E48" t="s">
        <v>255</v>
      </c>
      <c r="F48">
        <f>IF(FALSE,"Validation",IF('Income Statement'!I105="","Validation","Data"))</f>
      </c>
      <c r="G48">
        <f>'Income Statement'!S105</f>
      </c>
    </row>
    <row r="49" spans="1:8" ht="12.75">
      <c r="A49" t="s">
        <v>342</v>
      </c>
      <c r="B49" t="s">
        <v>136</v>
      </c>
      <c r="C49">
        <f>IF('Income Statement'!I106="","",'Income Statement'!I106)</f>
      </c>
      <c r="D49">
        <f>IF('Income Statement'!P106="Pass","Pass",IF('Income Statement'!P106="PassBecauseBlankAllowed","Pass",IF('Income Statement'!P106="PassBecauseNoConstraints","Pass","Fail")))</f>
      </c>
      <c r="E49" t="s">
        <v>255</v>
      </c>
      <c r="F49">
        <f>IF(FALSE,"Validation",IF('Income Statement'!I106="","Validation","Data"))</f>
      </c>
      <c r="G49">
        <f>'Income Statement'!S106</f>
      </c>
    </row>
    <row r="50" spans="1:8" ht="12.75">
      <c r="A50" t="s">
        <v>343</v>
      </c>
      <c r="B50" t="s">
        <v>135</v>
      </c>
      <c r="C50">
        <f>IF('Income Statement'!I107="","",'Income Statement'!I107)</f>
      </c>
      <c r="D50">
        <f>IF('Income Statement'!P107="Pass","Pass",IF('Income Statement'!P107="PassBecauseBlankAllowed","Pass",IF('Income Statement'!P107="PassBecauseNoConstraints","Pass","Fail")))</f>
      </c>
      <c r="E50" t="s">
        <v>255</v>
      </c>
      <c r="F50">
        <f>IF(FALSE,"Validation",IF('Income Statement'!I107="","Validation","Data"))</f>
      </c>
      <c r="G50">
        <f>'Income Statement'!S107</f>
      </c>
    </row>
    <row r="51" spans="1:8" ht="12.75">
      <c r="A51" t="s">
        <v>344</v>
      </c>
      <c r="B51" t="s">
        <v>134</v>
      </c>
      <c r="C51">
        <f>IF('Income Statement'!I108="","",'Income Statement'!I108)</f>
      </c>
      <c r="D51">
        <f>IF('Income Statement'!P108="Pass","Pass",IF('Income Statement'!P108="PassBecauseBlankAllowed","Pass",IF('Income Statement'!P108="PassBecauseNoConstraints","Pass","Fail")))</f>
      </c>
      <c r="E51" t="s">
        <v>255</v>
      </c>
      <c r="F51">
        <f>IF(FALSE,"Validation",IF('Income Statement'!I108="","Validation","Data"))</f>
      </c>
      <c r="G51">
        <f>'Income Statement'!S108</f>
      </c>
    </row>
    <row r="52" spans="1:8" ht="12.75">
      <c r="A52" t="s">
        <v>345</v>
      </c>
      <c r="B52" t="s">
        <v>133</v>
      </c>
      <c r="C52">
        <f>IF('Income Statement'!I109="","",'Income Statement'!I109)</f>
      </c>
      <c r="D52">
        <f>IF('Income Statement'!P109="Pass","Pass",IF('Income Statement'!P109="PassBecauseBlankAllowed","Pass",IF('Income Statement'!P109="PassBecauseNoConstraints","Pass","Fail")))</f>
      </c>
      <c r="E52" t="s">
        <v>255</v>
      </c>
      <c r="F52">
        <f>IF(FALSE,"Validation",IF('Income Statement'!I109="","Validation","Data"))</f>
      </c>
      <c r="G52">
        <f>'Income Statement'!S109</f>
      </c>
    </row>
    <row r="53" spans="1:8" ht="12.75">
      <c r="A53" t="s">
        <v>346</v>
      </c>
      <c r="B53" t="s">
        <v>132</v>
      </c>
      <c r="C53">
        <f>IF('Income Statement'!I110="","",'Income Statement'!I110)</f>
      </c>
      <c r="D53">
        <f>IF('Income Statement'!P110="Pass","Pass",IF('Income Statement'!P110="PassBecauseBlankAllowed","Pass",IF('Income Statement'!P110="PassBecauseNoConstraints","Pass","Fail")))</f>
      </c>
      <c r="E53" t="s">
        <v>255</v>
      </c>
      <c r="F53">
        <f>IF(FALSE,"Validation",IF('Income Statement'!I110="","Validation","Data"))</f>
      </c>
      <c r="G53">
        <f>'Income Statement'!S110</f>
      </c>
    </row>
    <row r="54" spans="1:8" ht="12.75">
      <c r="A54" t="s">
        <v>347</v>
      </c>
      <c r="B54" t="s">
        <v>131</v>
      </c>
      <c r="C54">
        <f>IF('Income Statement'!I111="","",'Income Statement'!I111)</f>
      </c>
      <c r="D54">
        <f>IF('Income Statement'!P111="Pass","Pass",IF('Income Statement'!P111="PassBecauseBlankAllowed","Pass",IF('Income Statement'!P111="PassBecauseNoConstraints","Pass","Fail")))</f>
      </c>
      <c r="E54" t="s">
        <v>255</v>
      </c>
      <c r="F54">
        <f>IF(FALSE,"Validation",IF('Income Statement'!I111="","Validation","Data"))</f>
      </c>
      <c r="G54">
        <f>'Income Statement'!S111</f>
      </c>
    </row>
    <row r="55" spans="1:8" ht="12.75">
      <c r="B55" t="s">
        <v>130</v>
      </c>
      <c r="C55">
        <f>IF('Income Statement'!I114="","",'Income Statement'!I114)</f>
      </c>
      <c r="D55">
        <f>IF('Income Statement'!P114="Pass","Pass",IF('Income Statement'!P114="PassBecauseBlankAllowed","Pass",IF('Income Statement'!P114="PassBecauseNoConstraints","Pass","Fail")))</f>
      </c>
      <c r="F55">
        <f>IF(TRUE,"Validation",IF('Income Statement'!I114="","Validation","Data"))</f>
      </c>
      <c r="G55">
        <f>'Income Statement'!S114</f>
      </c>
      <c r="H55" t="s">
        <v>348</v>
      </c>
    </row>
    <row r="56" spans="1:8" ht="12.75">
      <c r="A56" t="s">
        <v>349</v>
      </c>
      <c r="B56" t="s">
        <v>128</v>
      </c>
      <c r="C56">
        <f>IF('Income Statement'!I122="","",'Income Statement'!I122)</f>
      </c>
      <c r="D56">
        <f>IF('Income Statement'!P122="Pass","Pass",IF('Income Statement'!P122="PassBecauseBlankAllowed","Pass",IF('Income Statement'!P122="PassBecauseNoConstraints","Pass","Fail")))</f>
      </c>
      <c r="E56" t="s">
        <v>255</v>
      </c>
      <c r="F56">
        <f>IF(FALSE,"Validation",IF('Income Statement'!I122="","Validation","Data"))</f>
      </c>
      <c r="G56">
        <f>'Income Statement'!S122</f>
      </c>
    </row>
    <row r="57" spans="1:8" ht="12.75">
      <c r="A57" t="s">
        <v>350</v>
      </c>
      <c r="B57" t="s">
        <v>127</v>
      </c>
      <c r="C57">
        <f>IF('Income Statement'!I123="","",'Income Statement'!I123)</f>
      </c>
      <c r="D57">
        <f>IF('Income Statement'!P123="Pass","Pass",IF('Income Statement'!P123="PassBecauseBlankAllowed","Pass",IF('Income Statement'!P123="PassBecauseNoConstraints","Pass","Fail")))</f>
      </c>
      <c r="E57" t="s">
        <v>255</v>
      </c>
      <c r="F57">
        <f>IF(FALSE,"Validation",IF('Income Statement'!I123="","Validation","Data"))</f>
      </c>
      <c r="G57">
        <f>'Income Statement'!S123</f>
      </c>
    </row>
    <row r="58" spans="1:8" ht="12.75">
      <c r="A58" t="s">
        <v>351</v>
      </c>
      <c r="B58" t="s">
        <v>126</v>
      </c>
      <c r="C58">
        <f>IF('Income Statement'!I124="","",'Income Statement'!I124)</f>
      </c>
      <c r="D58">
        <f>IF('Income Statement'!P124="Pass","Pass",IF('Income Statement'!P124="PassBecauseBlankAllowed","Pass",IF('Income Statement'!P124="PassBecauseNoConstraints","Pass","Fail")))</f>
      </c>
      <c r="E58" t="s">
        <v>255</v>
      </c>
      <c r="F58">
        <f>IF(FALSE,"Validation",IF('Income Statement'!I124="","Validation","Data"))</f>
      </c>
      <c r="G58">
        <f>'Income Statement'!S124</f>
      </c>
    </row>
    <row r="59" spans="1:8" ht="12.75">
      <c r="A59" t="s">
        <v>352</v>
      </c>
      <c r="B59" t="s">
        <v>125</v>
      </c>
      <c r="C59">
        <f>IF('Income Statement'!I125="","",'Income Statement'!I125)</f>
      </c>
      <c r="D59">
        <f>IF('Income Statement'!P125="Pass","Pass",IF('Income Statement'!P125="PassBecauseBlankAllowed","Pass",IF('Income Statement'!P125="PassBecauseNoConstraints","Pass","Fail")))</f>
      </c>
      <c r="E59" t="s">
        <v>255</v>
      </c>
      <c r="F59">
        <f>IF(FALSE,"Validation",IF('Income Statement'!I125="","Validation","Data"))</f>
      </c>
      <c r="G59">
        <f>'Income Statement'!S125</f>
      </c>
    </row>
    <row r="60" spans="1:8" ht="12.75">
      <c r="A60" t="s">
        <v>353</v>
      </c>
      <c r="B60" t="s">
        <v>124</v>
      </c>
      <c r="C60">
        <f>IF('Income Statement'!I126="","",'Income Statement'!I126)</f>
      </c>
      <c r="D60">
        <f>IF('Income Statement'!P126="Pass","Pass",IF('Income Statement'!P126="PassBecauseBlankAllowed","Pass",IF('Income Statement'!P126="PassBecauseNoConstraints","Pass","Fail")))</f>
      </c>
      <c r="E60" t="s">
        <v>255</v>
      </c>
      <c r="F60">
        <f>IF(FALSE,"Validation",IF('Income Statement'!I126="","Validation","Data"))</f>
      </c>
      <c r="G60">
        <f>'Income Statement'!S126</f>
      </c>
    </row>
    <row r="61" spans="1:8" ht="12.75">
      <c r="B61" t="s">
        <v>123</v>
      </c>
      <c r="C61">
        <f>IF('Income Statement'!I129="","",'Income Statement'!I129)</f>
      </c>
      <c r="D61">
        <f>IF('Income Statement'!P129="Pass","Pass",IF('Income Statement'!P129="PassBecauseBlankAllowed","Pass",IF('Income Statement'!P129="PassBecauseNoConstraints","Pass","Fail")))</f>
      </c>
      <c r="F61">
        <f>IF(TRUE,"Validation",IF('Income Statement'!I129="","Validation","Data"))</f>
      </c>
      <c r="G61">
        <f>'Income Statement'!S129</f>
      </c>
      <c r="H61" t="s">
        <v>354</v>
      </c>
    </row>
    <row r="62" spans="1:8" ht="12.75">
      <c r="B62" t="s">
        <v>122</v>
      </c>
      <c r="C62">
        <f>IF('Income Statement'!I134="","",'Income Statement'!I134)</f>
      </c>
      <c r="D62">
        <f>IF('Income Statement'!P134="Pass","Pass",IF('Income Statement'!P134="PassBecauseBlankAllowed","Pass",IF('Income Statement'!P134="PassBecauseNoConstraints","Pass","Fail")))</f>
      </c>
      <c r="F62">
        <f>IF(TRUE,"Validation",IF('Income Statement'!I134="","Validation","Data"))</f>
      </c>
      <c r="G62">
        <f>'Income Statement'!S134</f>
      </c>
      <c r="H62" t="s">
        <v>315</v>
      </c>
    </row>
    <row r="63" spans="1:8" ht="12.75">
      <c r="A63" t="s">
        <v>355</v>
      </c>
      <c r="B63" t="s">
        <v>120</v>
      </c>
      <c r="C63">
        <f>IF('Income Statement'!I146="","",'Income Statement'!I146)</f>
      </c>
      <c r="D63">
        <f>IF('Income Statement'!P146="Pass","Pass",IF('Income Statement'!P146="PassBecauseBlankAllowed","Pass",IF('Income Statement'!P146="PassBecauseNoConstraints","Pass","Fail")))</f>
      </c>
      <c r="E63" t="s">
        <v>255</v>
      </c>
      <c r="F63">
        <f>IF(FALSE,"Validation",IF('Income Statement'!I146="","Validation","Data"))</f>
      </c>
      <c r="G63">
        <f>'Income Statement'!S146</f>
      </c>
    </row>
    <row r="64" spans="1:8" ht="12.75">
      <c r="A64" t="s">
        <v>356</v>
      </c>
      <c r="B64" t="s">
        <v>119</v>
      </c>
      <c r="C64">
        <f>IF('Income Statement'!I147="","",'Income Statement'!I147)</f>
      </c>
      <c r="D64">
        <f>IF('Income Statement'!P147="Pass","Pass",IF('Income Statement'!P147="PassBecauseBlankAllowed","Pass",IF('Income Statement'!P147="PassBecauseNoConstraints","Pass","Fail")))</f>
      </c>
      <c r="E64" t="s">
        <v>255</v>
      </c>
      <c r="F64">
        <f>IF(FALSE,"Validation",IF('Income Statement'!I147="","Validation","Data"))</f>
      </c>
      <c r="G64">
        <f>'Income Statement'!S147</f>
      </c>
    </row>
    <row r="65" spans="1:8" ht="12.75">
      <c r="A65" t="s">
        <v>357</v>
      </c>
      <c r="B65" t="s">
        <v>118</v>
      </c>
      <c r="C65">
        <f>IF('Income Statement'!I148="","",'Income Statement'!I148)</f>
      </c>
      <c r="D65">
        <f>IF('Income Statement'!P148="Pass","Pass",IF('Income Statement'!P148="PassBecauseBlankAllowed","Pass",IF('Income Statement'!P148="PassBecauseNoConstraints","Pass","Fail")))</f>
      </c>
      <c r="E65" t="s">
        <v>255</v>
      </c>
      <c r="F65">
        <f>IF(FALSE,"Validation",IF('Income Statement'!I148="","Validation","Data"))</f>
      </c>
      <c r="G65">
        <f>'Income Statement'!S148</f>
      </c>
    </row>
    <row r="66" spans="1:8" ht="12.75">
      <c r="A66" t="s">
        <v>358</v>
      </c>
      <c r="B66" t="s">
        <v>117</v>
      </c>
      <c r="C66">
        <f>IF('Income Statement'!I149="","",'Income Statement'!I149)</f>
      </c>
      <c r="D66">
        <f>IF('Income Statement'!P149="Pass","Pass",IF('Income Statement'!P149="PassBecauseBlankAllowed","Pass",IF('Income Statement'!P149="PassBecauseNoConstraints","Pass","Fail")))</f>
      </c>
      <c r="E66" t="s">
        <v>255</v>
      </c>
      <c r="F66">
        <f>IF(FALSE,"Validation",IF('Income Statement'!I149="","Validation","Data"))</f>
      </c>
      <c r="G66">
        <f>'Income Statement'!S149</f>
      </c>
    </row>
    <row r="67" spans="1:8" ht="12.75">
      <c r="B67" t="s">
        <v>116</v>
      </c>
      <c r="C67">
        <f>IF('Income Statement'!I152="","",'Income Statement'!I152)</f>
      </c>
      <c r="D67">
        <f>IF('Income Statement'!P152="Pass","Pass",IF('Income Statement'!P152="PassBecauseBlankAllowed","Pass",IF('Income Statement'!P152="PassBecauseNoConstraints","Pass","Fail")))</f>
      </c>
      <c r="F67">
        <f>IF(TRUE,"Validation",IF('Income Statement'!I152="","Validation","Data"))</f>
      </c>
      <c r="G67">
        <f>'Income Statement'!S152</f>
      </c>
      <c r="H67" t="s">
        <v>359</v>
      </c>
    </row>
    <row r="68" spans="1:8" ht="12.75">
      <c r="A68" t="s">
        <v>360</v>
      </c>
      <c r="B68" t="s">
        <v>114</v>
      </c>
      <c r="C68">
        <f>IF('Income Statement'!I164="","",'Income Statement'!I164)</f>
      </c>
      <c r="D68">
        <f>IF('Income Statement'!P164="Pass","Pass",IF('Income Statement'!P164="PassBecauseBlankAllowed","Pass",IF('Income Statement'!P164="PassBecauseNoConstraints","Pass","Fail")))</f>
      </c>
      <c r="E68" t="s">
        <v>255</v>
      </c>
      <c r="F68">
        <f>IF(FALSE,"Validation",IF('Income Statement'!I164="","Validation","Data"))</f>
      </c>
      <c r="G68">
        <f>'Income Statement'!S164</f>
      </c>
    </row>
    <row r="69" spans="1:8" ht="12.75">
      <c r="A69" t="s">
        <v>361</v>
      </c>
      <c r="B69" t="s">
        <v>113</v>
      </c>
      <c r="C69">
        <f>IF('Income Statement'!I165="","",'Income Statement'!I165)</f>
      </c>
      <c r="D69">
        <f>IF('Income Statement'!P165="Pass","Pass",IF('Income Statement'!P165="PassBecauseBlankAllowed","Pass",IF('Income Statement'!P165="PassBecauseNoConstraints","Pass","Fail")))</f>
      </c>
      <c r="E69" t="s">
        <v>255</v>
      </c>
      <c r="F69">
        <f>IF(FALSE,"Validation",IF('Income Statement'!I165="","Validation","Data"))</f>
      </c>
      <c r="G69">
        <f>'Income Statement'!S165</f>
      </c>
    </row>
    <row r="70" spans="1:8" ht="12.75">
      <c r="A70" t="s">
        <v>362</v>
      </c>
      <c r="B70" t="s">
        <v>112</v>
      </c>
      <c r="C70">
        <f>IF('Income Statement'!I166="","",'Income Statement'!I166)</f>
      </c>
      <c r="D70">
        <f>IF('Income Statement'!P166="Pass","Pass",IF('Income Statement'!P166="PassBecauseBlankAllowed","Pass",IF('Income Statement'!P166="PassBecauseNoConstraints","Pass","Fail")))</f>
      </c>
      <c r="E70" t="s">
        <v>255</v>
      </c>
      <c r="F70">
        <f>IF(FALSE,"Validation",IF('Income Statement'!I166="","Validation","Data"))</f>
      </c>
      <c r="G70">
        <f>'Income Statement'!S166</f>
      </c>
    </row>
    <row r="71" spans="1:8" ht="12.75">
      <c r="A71" t="s">
        <v>363</v>
      </c>
      <c r="B71" t="s">
        <v>111</v>
      </c>
      <c r="C71">
        <f>IF('Income Statement'!I167="","",'Income Statement'!I167)</f>
      </c>
      <c r="D71">
        <f>IF('Income Statement'!P167="Pass","Pass",IF('Income Statement'!P167="PassBecauseBlankAllowed","Pass",IF('Income Statement'!P167="PassBecauseNoConstraints","Pass","Fail")))</f>
      </c>
      <c r="E71" t="s">
        <v>255</v>
      </c>
      <c r="F71">
        <f>IF(FALSE,"Validation",IF('Income Statement'!I167="","Validation","Data"))</f>
      </c>
      <c r="G71">
        <f>'Income Statement'!S167</f>
      </c>
    </row>
    <row r="72" spans="1:8" ht="12.75">
      <c r="A72" t="s">
        <v>364</v>
      </c>
      <c r="B72" t="s">
        <v>110</v>
      </c>
      <c r="C72">
        <f>IF('Income Statement'!I168="","",'Income Statement'!I168)</f>
      </c>
      <c r="D72">
        <f>IF('Income Statement'!P168="Pass","Pass",IF('Income Statement'!P168="PassBecauseBlankAllowed","Pass",IF('Income Statement'!P168="PassBecauseNoConstraints","Pass","Fail")))</f>
      </c>
      <c r="E72" t="s">
        <v>255</v>
      </c>
      <c r="F72">
        <f>IF(FALSE,"Validation",IF('Income Statement'!I168="","Validation","Data"))</f>
      </c>
      <c r="G72">
        <f>'Income Statement'!S168</f>
      </c>
    </row>
    <row r="73" spans="1:8" ht="12.75">
      <c r="A73" t="s">
        <v>365</v>
      </c>
      <c r="B73" t="s">
        <v>109</v>
      </c>
      <c r="C73">
        <f>IF('Income Statement'!I169="","",'Income Statement'!I169)</f>
      </c>
      <c r="D73">
        <f>IF('Income Statement'!P169="Pass","Pass",IF('Income Statement'!P169="PassBecauseBlankAllowed","Pass",IF('Income Statement'!P169="PassBecauseNoConstraints","Pass","Fail")))</f>
      </c>
      <c r="E73" t="s">
        <v>255</v>
      </c>
      <c r="F73">
        <f>IF(FALSE,"Validation",IF('Income Statement'!I169="","Validation","Data"))</f>
      </c>
      <c r="G73">
        <f>'Income Statement'!S169</f>
      </c>
    </row>
    <row r="74" spans="1:8" ht="12.75">
      <c r="A74" t="s">
        <v>366</v>
      </c>
      <c r="B74" t="s">
        <v>108</v>
      </c>
      <c r="C74">
        <f>IF('Income Statement'!I170="","",'Income Statement'!I170)</f>
      </c>
      <c r="D74">
        <f>IF('Income Statement'!P170="Pass","Pass",IF('Income Statement'!P170="PassBecauseBlankAllowed","Pass",IF('Income Statement'!P170="PassBecauseNoConstraints","Pass","Fail")))</f>
      </c>
      <c r="E74" t="s">
        <v>255</v>
      </c>
      <c r="F74">
        <f>IF(FALSE,"Validation",IF('Income Statement'!I170="","Validation","Data"))</f>
      </c>
      <c r="G74">
        <f>'Income Statement'!S170</f>
      </c>
    </row>
    <row r="75" spans="1:8" ht="12.75">
      <c r="A75" t="s">
        <v>367</v>
      </c>
      <c r="B75" t="s">
        <v>107</v>
      </c>
      <c r="C75">
        <f>IF('Income Statement'!I171="","",'Income Statement'!I171)</f>
      </c>
      <c r="D75">
        <f>IF('Income Statement'!P171="Pass","Pass",IF('Income Statement'!P171="PassBecauseBlankAllowed","Pass",IF('Income Statement'!P171="PassBecauseNoConstraints","Pass","Fail")))</f>
      </c>
      <c r="E75" t="s">
        <v>255</v>
      </c>
      <c r="F75">
        <f>IF(FALSE,"Validation",IF('Income Statement'!I171="","Validation","Data"))</f>
      </c>
      <c r="G75">
        <f>'Income Statement'!S171</f>
      </c>
    </row>
    <row r="76" spans="1:8" ht="12.75">
      <c r="A76" t="s">
        <v>368</v>
      </c>
      <c r="B76" t="s">
        <v>106</v>
      </c>
      <c r="C76">
        <f>IF('Income Statement'!I172="","",'Income Statement'!I172)</f>
      </c>
      <c r="D76">
        <f>IF('Income Statement'!P172="Pass","Pass",IF('Income Statement'!P172="PassBecauseBlankAllowed","Pass",IF('Income Statement'!P172="PassBecauseNoConstraints","Pass","Fail")))</f>
      </c>
      <c r="E76" t="s">
        <v>255</v>
      </c>
      <c r="F76">
        <f>IF(FALSE,"Validation",IF('Income Statement'!I172="","Validation","Data"))</f>
      </c>
      <c r="G76">
        <f>'Income Statement'!S172</f>
      </c>
    </row>
    <row r="77" spans="1:8" ht="12.75">
      <c r="A77" t="s">
        <v>369</v>
      </c>
      <c r="B77" t="s">
        <v>105</v>
      </c>
      <c r="C77">
        <f>IF('Income Statement'!I173="","",'Income Statement'!I173)</f>
      </c>
      <c r="D77">
        <f>IF('Income Statement'!P173="Pass","Pass",IF('Income Statement'!P173="PassBecauseBlankAllowed","Pass",IF('Income Statement'!P173="PassBecauseNoConstraints","Pass","Fail")))</f>
      </c>
      <c r="E77" t="s">
        <v>255</v>
      </c>
      <c r="F77">
        <f>IF(FALSE,"Validation",IF('Income Statement'!I173="","Validation","Data"))</f>
      </c>
      <c r="G77">
        <f>'Income Statement'!S173</f>
      </c>
    </row>
    <row r="78" spans="1:8" ht="12.75">
      <c r="B78" t="s">
        <v>104</v>
      </c>
      <c r="C78">
        <f>IF('Income Statement'!I178="","",'Income Statement'!I178)</f>
      </c>
      <c r="D78">
        <f>IF('Income Statement'!P178="Pass","Pass",IF('Income Statement'!P178="PassBecauseBlankAllowed","Pass",IF('Income Statement'!P178="PassBecauseNoConstraints","Pass","Fail")))</f>
      </c>
      <c r="F78">
        <f>IF(TRUE,"Validation",IF('Income Statement'!I178="","Validation","Data"))</f>
      </c>
      <c r="G78">
        <f>'Income Statement'!S178</f>
      </c>
      <c r="H78" t="s">
        <v>370</v>
      </c>
    </row>
    <row r="79" spans="1:8" ht="12.75">
      <c r="B79" t="s">
        <v>103</v>
      </c>
      <c r="C79">
        <f>IF('Income Statement'!I183="","",'Income Statement'!I183)</f>
      </c>
      <c r="D79">
        <f>IF('Income Statement'!P183="Pass","Pass",IF('Income Statement'!P183="PassBecauseBlankAllowed","Pass",IF('Income Statement'!P183="PassBecauseNoConstraints","Pass","Fail")))</f>
      </c>
      <c r="F79">
        <f>IF(TRUE,"Validation",IF('Income Statement'!I183="","Validation","Data"))</f>
      </c>
      <c r="G79">
        <f>'Income Statement'!S183</f>
      </c>
      <c r="H79" t="s">
        <v>315</v>
      </c>
    </row>
    <row r="80" spans="1:8" ht="12.75">
      <c r="B80" t="s">
        <v>102</v>
      </c>
      <c r="C80">
        <f>IF('Income Statement'!I188="","",'Income Statement'!I188)</f>
      </c>
      <c r="D80">
        <f>IF('Income Statement'!P188="Pass","Pass",IF('Income Statement'!P188="PassBecauseBlankAllowed","Pass",IF('Income Statement'!P188="PassBecauseNoConstraints","Pass","Fail")))</f>
      </c>
      <c r="F80">
        <f>IF(TRUE,"Validation",IF('Income Statement'!I188="","Validation","Data"))</f>
      </c>
      <c r="G80">
        <f>'Income Statement'!S188</f>
      </c>
      <c r="H80" t="s">
        <v>315</v>
      </c>
    </row>
    <row r="81" spans="1:8" ht="12.75">
      <c r="A81" t="s">
        <v>371</v>
      </c>
      <c r="B81" t="s">
        <v>99</v>
      </c>
      <c r="C81">
        <f>IF('Income Statement'!I203="","",'Income Statement'!I203)</f>
      </c>
      <c r="D81">
        <f>IF('Income Statement'!P203="Pass","Pass",IF('Income Statement'!P203="PassBecauseBlankAllowed","Pass",IF('Income Statement'!P203="PassBecauseNoConstraints","Pass","Fail")))</f>
      </c>
      <c r="E81" t="s">
        <v>255</v>
      </c>
      <c r="F81">
        <f>IF(FALSE,"Validation",IF('Income Statement'!I203="","Validation","Data"))</f>
      </c>
      <c r="G81">
        <f>'Income Statement'!S203</f>
      </c>
    </row>
    <row r="82" spans="1:8" ht="12.75">
      <c r="A82" t="s">
        <v>372</v>
      </c>
      <c r="B82" t="s">
        <v>96</v>
      </c>
      <c r="C82">
        <f>IF('Income Statement'!I214="","",'Income Statement'!I214)</f>
      </c>
      <c r="D82">
        <f>IF('Income Statement'!P214="Pass","Pass",IF('Income Statement'!P214="PassBecauseBlankAllowed","Pass",IF('Income Statement'!P214="PassBecauseNoConstraints","Pass","Fail")))</f>
      </c>
      <c r="E82" t="s">
        <v>255</v>
      </c>
      <c r="F82">
        <f>IF(FALSE,"Validation",IF('Income Statement'!I214="","Validation","Data"))</f>
      </c>
      <c r="G82">
        <f>'Income Statement'!S214</f>
      </c>
    </row>
    <row r="83" spans="1:8" ht="12.75">
      <c r="A83" t="s">
        <v>373</v>
      </c>
      <c r="B83" t="s">
        <v>95</v>
      </c>
      <c r="C83">
        <f>IF('Income Statement'!I215="","",'Income Statement'!I215)</f>
      </c>
      <c r="D83">
        <f>IF('Income Statement'!P215="Pass","Pass",IF('Income Statement'!P215="PassBecauseBlankAllowed","Pass",IF('Income Statement'!P215="PassBecauseNoConstraints","Pass","Fail")))</f>
      </c>
      <c r="E83" t="s">
        <v>255</v>
      </c>
      <c r="F83">
        <f>IF(FALSE,"Validation",IF('Income Statement'!I215="","Validation","Data"))</f>
      </c>
      <c r="G83">
        <f>'Income Statement'!S215</f>
      </c>
    </row>
    <row r="84" spans="1:8" ht="12.75">
      <c r="A84" t="s">
        <v>374</v>
      </c>
      <c r="B84" t="s">
        <v>94</v>
      </c>
      <c r="C84">
        <f>IF('Income Statement'!I216="","",'Income Statement'!I216)</f>
      </c>
      <c r="D84">
        <f>IF('Income Statement'!P216="Pass","Pass",IF('Income Statement'!P216="PassBecauseBlankAllowed","Pass",IF('Income Statement'!P216="PassBecauseNoConstraints","Pass","Fail")))</f>
      </c>
      <c r="E84" t="s">
        <v>255</v>
      </c>
      <c r="F84">
        <f>IF(FALSE,"Validation",IF('Income Statement'!I216="","Validation","Data"))</f>
      </c>
      <c r="G84">
        <f>'Income Statement'!S216</f>
      </c>
    </row>
    <row r="85" spans="1:8" ht="12.75">
      <c r="B85" t="s">
        <v>93</v>
      </c>
      <c r="C85">
        <f>IF('Income Statement'!I219="","",'Income Statement'!I219)</f>
      </c>
      <c r="D85">
        <f>IF('Income Statement'!P219="Pass","Pass",IF('Income Statement'!P219="PassBecauseBlankAllowed","Pass",IF('Income Statement'!P219="PassBecauseNoConstraints","Pass","Fail")))</f>
      </c>
      <c r="F85">
        <f>IF(TRUE,"Validation",IF('Income Statement'!I219="","Validation","Data"))</f>
      </c>
      <c r="G85">
        <f>'Income Statement'!S219</f>
      </c>
      <c r="H85" t="s">
        <v>375</v>
      </c>
    </row>
    <row r="86" spans="1:8" ht="12.75">
      <c r="B86" t="s">
        <v>92</v>
      </c>
      <c r="C86">
        <f>IF('Income Statement'!I224="","",'Income Statement'!I224)</f>
      </c>
      <c r="D86">
        <f>IF('Income Statement'!P224="Pass","Pass",IF('Income Statement'!P224="PassBecauseBlankAllowed","Pass",IF('Income Statement'!P224="PassBecauseNoConstraints","Pass","Fail")))</f>
      </c>
      <c r="F86">
        <f>IF(TRUE,"Validation",IF('Income Statement'!I224="","Validation","Data"))</f>
      </c>
      <c r="G86">
        <f>'Income Statement'!S224</f>
      </c>
      <c r="H86" t="s">
        <v>376</v>
      </c>
    </row>
    <row r="87" spans="1:8" ht="12.75">
      <c r="B87" t="s">
        <v>91</v>
      </c>
      <c r="C87">
        <f>IF('Income Statement'!I229="","",'Income Statement'!I229)</f>
      </c>
      <c r="D87">
        <f>IF('Income Statement'!P229="Pass","Pass",IF('Income Statement'!P229="PassBecauseBlankAllowed","Pass",IF('Income Statement'!P229="PassBecauseNoConstraints","Pass","Fail")))</f>
      </c>
      <c r="F87">
        <f>IF(TRUE,"Validation",IF('Income Statement'!I229="","Validation","Data"))</f>
      </c>
      <c r="G87">
        <f>'Income Statement'!S229</f>
      </c>
      <c r="H87" t="s">
        <v>315</v>
      </c>
    </row>
    <row r="88" spans="1:8" ht="12.75">
      <c r="B88" t="s">
        <v>90</v>
      </c>
      <c r="C88">
        <f>IF('Income Statement'!I236="","",'Income Statement'!I236)</f>
      </c>
      <c r="D88">
        <f>IF('Income Statement'!P236="Pass","Pass",IF('Income Statement'!P236="PassBecauseBlankAllowed","Pass",IF('Income Statement'!P236="PassBecauseNoConstraints","Pass","Fail")))</f>
      </c>
      <c r="F88">
        <f>IF(TRUE,"Validation",IF('Income Statement'!I236="","Validation","Data"))</f>
      </c>
      <c r="G88">
        <f>'Income Statement'!S236</f>
      </c>
      <c r="H88" t="s">
        <v>377</v>
      </c>
    </row>
    <row r="89" spans="1:8" ht="12.75">
      <c r="B89" t="s">
        <v>89</v>
      </c>
      <c r="C89">
        <f>IF('Income Statement'!I237="","",'Income Statement'!I237)</f>
      </c>
      <c r="D89">
        <f>IF('Income Statement'!P237="Pass","Pass",IF('Income Statement'!P237="PassBecauseBlankAllowed","Pass",IF('Income Statement'!P237="PassBecauseNoConstraints","Pass","Fail")))</f>
      </c>
      <c r="F89">
        <f>IF(TRUE,"Validation",IF('Income Statement'!I237="","Validation","Data"))</f>
      </c>
      <c r="G89">
        <f>'Income Statement'!S237</f>
      </c>
      <c r="H89" t="s">
        <v>377</v>
      </c>
    </row>
    <row r="90" spans="1:8" ht="12.75">
      <c r="A90" t="s">
        <v>378</v>
      </c>
      <c r="B90" t="s">
        <v>88</v>
      </c>
      <c r="C90">
        <f>IF('Income Statement'!I242="","",'Income Statement'!I242)</f>
      </c>
      <c r="D90">
        <f>IF('Income Statement'!P242="Pass","Pass",IF('Income Statement'!P242="PassBecauseBlankAllowed","Pass",IF('Income Statement'!P242="PassBecauseNoConstraints","Pass","Fail")))</f>
      </c>
      <c r="E90" t="s">
        <v>255</v>
      </c>
      <c r="F90">
        <f>IF(FALSE,"Validation",IF('Income Statement'!I242="","Validation","Data"))</f>
      </c>
      <c r="G90">
        <f>'Income Statement'!S242</f>
      </c>
    </row>
    <row r="91" spans="1:8" ht="12.75">
      <c r="A91" t="s">
        <v>379</v>
      </c>
      <c r="B91" t="s">
        <v>87</v>
      </c>
      <c r="C91">
        <f>IF('Income Statement'!I243="","",'Income Statement'!I243)</f>
      </c>
      <c r="D91">
        <f>IF('Income Statement'!P243="Pass","Pass",IF('Income Statement'!P243="PassBecauseBlankAllowed","Pass",IF('Income Statement'!P243="PassBecauseNoConstraints","Pass","Fail")))</f>
      </c>
      <c r="E91" t="s">
        <v>255</v>
      </c>
      <c r="F91">
        <f>IF(FALSE,"Validation",IF('Income Statement'!I243="","Validation","Data"))</f>
      </c>
      <c r="G91">
        <f>'Income Statement'!S243</f>
      </c>
    </row>
    <row r="92" spans="1:8" ht="12.75">
      <c r="B92" t="s">
        <v>215</v>
      </c>
      <c r="C92">
        <f>IF(Operations!I76="","",Operations!I76)</f>
      </c>
      <c r="D92">
        <f>IF(Operations!P76="Pass","Pass",IF(Operations!P76="PassBecauseBlankAllowed","Pass",IF(Operations!P76="PassBecauseNoConstraints","Pass","Fail")))</f>
      </c>
      <c r="F92">
        <f>IF(TRUE,"Validation",IF(Operations!I76="","Validation","Data"))</f>
      </c>
      <c r="G92">
        <f>Operations!S76</f>
      </c>
      <c r="H92" t="s">
        <v>315</v>
      </c>
    </row>
    <row r="93" spans="1:8" ht="12.75">
      <c r="B93" t="s">
        <v>203</v>
      </c>
      <c r="C93">
        <f>IF(Operations!I97="","",Operations!I97)</f>
      </c>
      <c r="D93">
        <f>IF(Operations!P97="Pass","Pass",IF(Operations!P97="PassBecauseBlankAllowed","Pass",IF(Operations!P97="PassBecauseNoConstraints","Pass","Fail")))</f>
      </c>
      <c r="F93">
        <f>IF(TRUE,"Validation",IF(Operations!I97="","Validation","Data"))</f>
      </c>
      <c r="G93">
        <f>Operations!S97</f>
      </c>
      <c r="H93" t="s">
        <v>315</v>
      </c>
    </row>
  </sheetData>
  <sheetProtection password="F7F9" sheet="1" objects="1" scenarios="1"/>
  <pageMargins left="0.75" right="0.75" top="1" bottom="1" header="0.5" footer="0.5"/>
  <pageSetup orientation="portrai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B1"/>
  <sheetViews>
    <sheetView workbookViewId="0" topLeftCell="A1"/>
  </sheetViews>
  <sheetFormatPr defaultRowHeight="12.75"/>
  <sheetData>
    <row r="1" spans="1:2" ht="12.75">
      <c r="A1" t="s">
        <v>380</v>
      </c>
      <c r="B1" t="s">
        <v>381</v>
      </c>
    </row>
  </sheetData>
  <sheetProtection password="F7F9" sheet="1" objects="1" scenarios="1"/>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85"/>
  <sheetViews>
    <sheetView showRowColHeaders="0" workbookViewId="0" topLeftCell="A1">
      <pane ySplit="15" topLeftCell="A16" activePane="bottomLeft" state="frozen"/>
      <selection pane="topLeft" activeCell="A1" sqref="A1"/>
      <selection pane="bottomLeft" activeCell="B2" sqref="B2"/>
    </sheetView>
  </sheetViews>
  <sheetFormatPr defaultColWidth="0" defaultRowHeight="0" customHeight="1"/>
  <cols>
    <col min="1" max="1" width="7.14285714285714" customWidth="1"/>
    <col min="2" max="2" width="2.85714285714286" customWidth="1"/>
    <col min="3" max="3" width="85.7142857142857" customWidth="1"/>
    <col min="4" max="4" width="0" hidden="1" customWidth="1"/>
    <col min="5" max="5" width="2.85714285714286" customWidth="1"/>
    <col min="6" max="6" width="7.14285714285714" customWidth="1"/>
    <col min="7" max="7" width="2.85714285714286" customWidth="1"/>
    <col min="8" max="8" width="7.14285714285714" customWidth="1"/>
  </cols>
  <sheetData>
    <row r="1" spans="1:8" ht="37.5" customHeight="1">
      <c r="A1" s="310">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310"/>
      <c r="C1" s="310"/>
      <c r="D1" s="310"/>
      <c r="E1" s="310"/>
      <c r="F1" s="310"/>
      <c r="G1" s="310"/>
      <c r="H1" s="310"/>
    </row>
    <row r="2" spans="1:8" ht="15" customHeight="1">
      <c r="A2" s="22"/>
      <c r="B2" s="25"/>
      <c r="C2" s="312"/>
      <c r="D2" s="25"/>
      <c r="E2" s="311"/>
      <c r="F2" s="145"/>
      <c r="G2" s="311"/>
      <c r="H2" s="22"/>
    </row>
    <row r="3" spans="1:8" ht="26.25">
      <c r="A3" s="22"/>
      <c r="B3" s="25"/>
      <c r="C3" s="28">
        <f>"Data Checks"</f>
      </c>
      <c r="D3" s="25"/>
      <c r="E3" s="311"/>
      <c r="F3" s="145"/>
      <c r="G3" s="311"/>
      <c r="H3" s="22"/>
    </row>
    <row r="4" spans="1:8" ht="15" customHeight="1">
      <c r="A4" s="22"/>
      <c r="B4" s="25"/>
      <c r="C4" s="312"/>
      <c r="D4" s="25"/>
      <c r="E4" s="311"/>
      <c r="F4" s="145"/>
      <c r="G4" s="311"/>
      <c r="H4" s="22"/>
    </row>
    <row r="5" spans="1:8" ht="15" hidden="1">
      <c r="A5" s="22"/>
      <c r="B5" s="25"/>
      <c r="C5" s="37"/>
      <c r="D5" s="25"/>
      <c r="E5" s="311"/>
      <c r="F5" s="145"/>
      <c r="G5" s="311"/>
      <c r="H5" s="22"/>
    </row>
    <row r="6" spans="1:8" ht="15" hidden="1">
      <c r="A6" s="22"/>
      <c r="B6" s="25"/>
      <c r="C6" s="40"/>
      <c r="D6" s="25"/>
      <c r="E6" s="311"/>
      <c r="F6" s="145"/>
      <c r="G6" s="311"/>
      <c r="H6" s="22"/>
    </row>
    <row r="7" spans="1:8" ht="15" customHeight="1">
      <c r="A7" s="22"/>
      <c r="B7" s="25"/>
      <c r="C7" s="313" t="s">
        <v>387</v>
      </c>
      <c r="D7" s="246"/>
      <c r="E7" s="246"/>
      <c r="F7" s="247"/>
      <c r="G7" s="311"/>
      <c r="H7" s="22"/>
    </row>
    <row r="8" spans="1:8" ht="15" customHeight="1">
      <c r="A8" s="22"/>
      <c r="B8" s="25"/>
      <c r="C8" s="314" t="s">
        <v>386</v>
      </c>
      <c r="D8" s="251"/>
      <c r="E8" s="251"/>
      <c r="F8" s="252"/>
      <c r="G8" s="311"/>
      <c r="H8" s="22"/>
    </row>
    <row r="9" spans="1:8" ht="15" customHeight="1">
      <c r="A9" s="22"/>
      <c r="B9" s="25"/>
      <c r="C9" s="314" t="s">
        <v>385</v>
      </c>
      <c r="D9" s="251"/>
      <c r="E9" s="251"/>
      <c r="F9" s="252"/>
      <c r="G9" s="311"/>
      <c r="H9" s="22"/>
    </row>
    <row r="10" spans="1:8" ht="15" customHeight="1">
      <c r="A10" s="22"/>
      <c r="B10" s="25"/>
      <c r="C10" s="315">
        <f>HYPERLINK("https://www.cometrics.com/excel-survey-upload-instructions/","Click here for upload instructions")</f>
      </c>
      <c r="D10" s="25"/>
      <c r="E10" s="311"/>
      <c r="F10" s="145"/>
      <c r="G10" s="311"/>
      <c r="H10" s="22"/>
    </row>
    <row r="11" spans="1:8" ht="15" customHeight="1">
      <c r="A11" s="22"/>
      <c r="B11" s="25"/>
      <c r="C11" s="41" t="s">
        <v>81</v>
      </c>
      <c r="D11" s="25"/>
      <c r="E11" s="311"/>
      <c r="F11" s="145"/>
      <c r="G11" s="311"/>
      <c r="H11" s="22"/>
    </row>
    <row r="12" spans="1:8" ht="15" customHeight="1">
      <c r="A12" s="22"/>
      <c r="B12" s="25"/>
      <c r="C12" s="41" t="s">
        <v>81</v>
      </c>
      <c r="D12" s="25"/>
      <c r="E12" s="311"/>
      <c r="F12" s="145"/>
      <c r="G12" s="311"/>
      <c r="H12" s="22"/>
    </row>
    <row r="13" spans="1:8" ht="15" customHeight="1">
      <c r="A13" s="22"/>
      <c r="B13" s="25"/>
      <c r="C13" s="316">
        <f>HYPERLINK("https://secure.cometrics.com/sign-in","Click Here To Sign In And Upload Your Survey")</f>
      </c>
      <c r="D13" s="317"/>
      <c r="E13" s="318"/>
      <c r="F13" s="319"/>
      <c r="G13" s="311"/>
      <c r="H13" s="22"/>
    </row>
    <row r="14" spans="1:8" ht="15" customHeight="1">
      <c r="A14" s="22"/>
      <c r="B14" s="25"/>
      <c r="C14" s="41" t="s">
        <v>81</v>
      </c>
      <c r="D14" s="25"/>
      <c r="E14" s="311"/>
      <c r="F14" s="145"/>
      <c r="G14" s="311"/>
      <c r="H14" s="22"/>
    </row>
    <row r="15" spans="1:8" ht="15" hidden="1">
      <c r="A15" s="22"/>
      <c r="B15" s="25"/>
      <c r="C15" s="40"/>
      <c r="D15" s="25"/>
      <c r="E15" s="311"/>
      <c r="F15" s="145"/>
      <c r="G15" s="311"/>
      <c r="H15" s="22"/>
    </row>
    <row r="16" spans="1:8" ht="15" hidden="1">
      <c r="A16" s="22"/>
      <c r="B16" s="25"/>
      <c r="C16" s="37"/>
      <c r="D16" s="25"/>
      <c r="E16" s="311"/>
      <c r="F16" s="145"/>
      <c r="G16" s="311"/>
      <c r="H16" s="22"/>
    </row>
    <row r="17" spans="1:8" ht="15" hidden="1">
      <c r="A17" s="22"/>
      <c r="B17" s="25"/>
      <c r="C17" s="36"/>
      <c r="D17" s="25"/>
      <c r="E17" s="311"/>
      <c r="F17" s="145"/>
      <c r="G17" s="311"/>
      <c r="H17" s="22"/>
    </row>
    <row r="18" spans="1:8" ht="22.5" customHeight="1">
      <c r="A18" s="22"/>
      <c r="B18" s="25"/>
      <c r="C18" s="320"/>
      <c r="D18" s="25"/>
      <c r="E18" s="311"/>
      <c r="F18" s="145"/>
      <c r="G18" s="311"/>
      <c r="H18" s="22"/>
    </row>
    <row r="19" spans="1:8" ht="15" customHeight="1">
      <c r="A19" s="22"/>
      <c r="B19" s="25"/>
      <c r="C19" s="39" t="s">
        <v>384</v>
      </c>
      <c r="D19" s="25"/>
      <c r="E19" s="311"/>
      <c r="F19" s="145"/>
      <c r="G19" s="311"/>
      <c r="H19" s="22"/>
    </row>
    <row r="20" spans="1:8" ht="7.5" customHeight="1">
      <c r="A20" s="22"/>
      <c r="B20" s="25"/>
      <c r="C20" s="320"/>
      <c r="D20" s="25"/>
      <c r="E20" s="311"/>
      <c r="F20" s="145"/>
      <c r="G20" s="311"/>
      <c r="H20" s="22"/>
    </row>
    <row r="21" spans="1:8" ht="15" hidden="1">
      <c r="A21" s="22"/>
      <c r="B21" s="25"/>
      <c r="C21" s="321"/>
      <c r="D21" s="25"/>
      <c r="E21" s="311"/>
      <c r="F21" s="145"/>
      <c r="G21" s="311"/>
      <c r="H21" s="22"/>
    </row>
    <row r="22" spans="1:8" ht="15">
      <c r="A22" s="22"/>
      <c r="B22" s="25"/>
      <c r="C22" s="315">
        <f>HYPERLINK("#'Balance Sheet'!C33","Are You Reporting LIFO Ending Balances in This Survey?")</f>
      </c>
      <c r="D22" s="25"/>
      <c r="E22" s="311"/>
      <c r="F22" s="322">
        <f>IF('Balance Sheet'!P33="Pass","Pass",IF('Balance Sheet'!P33="PassBecauseBlankAllowed","Pass",IF('Balance Sheet'!P33="PassBecauseNoConstraints","Pass","Fail")))</f>
      </c>
      <c r="G22" s="311"/>
      <c r="H22" s="22"/>
    </row>
    <row r="23" spans="1:8" ht="7.5" customHeight="1">
      <c r="A23" s="22"/>
      <c r="B23" s="25"/>
      <c r="C23" s="321"/>
      <c r="D23" s="25"/>
      <c r="E23" s="311"/>
      <c r="F23" s="145"/>
      <c r="G23" s="311"/>
      <c r="H23" s="22"/>
    </row>
    <row r="24" spans="1:8" ht="15" hidden="1">
      <c r="A24" s="22"/>
      <c r="B24" s="25"/>
      <c r="C24" s="321"/>
      <c r="D24" s="25"/>
      <c r="E24" s="311"/>
      <c r="F24" s="145"/>
      <c r="G24" s="311"/>
      <c r="H24" s="22"/>
    </row>
    <row r="25" spans="1:8" ht="15">
      <c r="A25" s="22"/>
      <c r="B25" s="25"/>
      <c r="C25" s="315">
        <f>HYPERLINK("#'Balance Sheet'!C41","2020 Corporate Tax Rate (including state, federal, and local taxes)")</f>
      </c>
      <c r="D25" s="25"/>
      <c r="E25" s="311"/>
      <c r="F25" s="322">
        <f>IF('Balance Sheet'!P41="Pass","Pass",IF('Balance Sheet'!P41="PassBecauseBlankAllowed","Pass",IF('Balance Sheet'!P41="PassBecauseNoConstraints","Pass","Fail")))</f>
      </c>
      <c r="G25" s="311"/>
      <c r="H25" s="22"/>
    </row>
    <row r="26" spans="1:8" ht="7.5" customHeight="1">
      <c r="A26" s="22"/>
      <c r="B26" s="25"/>
      <c r="C26" s="321"/>
      <c r="D26" s="25"/>
      <c r="E26" s="311"/>
      <c r="F26" s="145"/>
      <c r="G26" s="311"/>
      <c r="H26" s="22"/>
    </row>
    <row r="27" spans="1:8" ht="15" hidden="1">
      <c r="A27" s="22"/>
      <c r="B27" s="25"/>
      <c r="C27" s="321"/>
      <c r="D27" s="25"/>
      <c r="E27" s="311"/>
      <c r="F27" s="145"/>
      <c r="G27" s="311"/>
      <c r="H27" s="22"/>
    </row>
    <row r="28" spans="1:8" ht="15">
      <c r="A28" s="22"/>
      <c r="B28" s="25"/>
      <c r="C28" s="315">
        <f>HYPERLINK("#'Balance Sheet'!C50","2020 Ending Balance LIFO Reserve")</f>
      </c>
      <c r="D28" s="25"/>
      <c r="E28" s="311"/>
      <c r="F28" s="322">
        <f>IF('Balance Sheet'!P50="Pass","Pass",IF('Balance Sheet'!P50="PassBecauseBlankAllowed","Pass",IF('Balance Sheet'!P50="PassBecauseNoConstraints","Pass","Fail")))</f>
      </c>
      <c r="G28" s="311"/>
      <c r="H28" s="22"/>
    </row>
    <row r="29" spans="1:8" ht="7.5" customHeight="1">
      <c r="A29" s="22"/>
      <c r="B29" s="25"/>
      <c r="C29" s="321"/>
      <c r="D29" s="25"/>
      <c r="E29" s="311"/>
      <c r="F29" s="145"/>
      <c r="G29" s="311"/>
      <c r="H29" s="22"/>
    </row>
    <row r="30" spans="1:8" ht="15" hidden="1">
      <c r="A30" s="22"/>
      <c r="B30" s="25"/>
      <c r="C30" s="321"/>
      <c r="D30" s="25"/>
      <c r="E30" s="311"/>
      <c r="F30" s="145"/>
      <c r="G30" s="311"/>
      <c r="H30" s="22"/>
    </row>
    <row r="31" spans="1:8" ht="15">
      <c r="A31" s="22"/>
      <c r="B31" s="25"/>
      <c r="C31" s="315">
        <f>HYPERLINK("#'Balance Sheet'!C51","2019 (prior year) Ending Balance LIFO Reserve")</f>
      </c>
      <c r="D31" s="25"/>
      <c r="E31" s="311"/>
      <c r="F31" s="322">
        <f>IF('Balance Sheet'!P51="Pass","Pass",IF('Balance Sheet'!P51="PassBecauseBlankAllowed","Pass",IF('Balance Sheet'!P51="PassBecauseNoConstraints","Pass","Fail")))</f>
      </c>
      <c r="G31" s="311"/>
      <c r="H31" s="22"/>
    </row>
    <row r="32" spans="1:8" ht="7.5" customHeight="1">
      <c r="A32" s="22"/>
      <c r="B32" s="25"/>
      <c r="C32" s="321"/>
      <c r="D32" s="25"/>
      <c r="E32" s="311"/>
      <c r="F32" s="145"/>
      <c r="G32" s="311"/>
      <c r="H32" s="22"/>
    </row>
    <row r="33" spans="1:8" ht="15" hidden="1">
      <c r="A33" s="22"/>
      <c r="B33" s="25"/>
      <c r="C33" s="321"/>
      <c r="D33" s="25"/>
      <c r="E33" s="311"/>
      <c r="F33" s="145"/>
      <c r="G33" s="311"/>
      <c r="H33" s="22"/>
    </row>
    <row r="34" spans="1:8" ht="15">
      <c r="A34" s="22"/>
      <c r="B34" s="25"/>
      <c r="C34" s="315">
        <f>HYPERLINK("#'Balance Sheet'!C59","Dead Stock in Inventory at Year End")</f>
      </c>
      <c r="D34" s="25"/>
      <c r="E34" s="311"/>
      <c r="F34" s="322">
        <f>IF('Balance Sheet'!P59="Pass","Pass",IF('Balance Sheet'!P59="PassBecauseBlankAllowed","Pass",IF('Balance Sheet'!P59="PassBecauseNoConstraints","Pass","Fail")))</f>
      </c>
      <c r="G34" s="311"/>
      <c r="H34" s="22"/>
    </row>
    <row r="35" spans="1:8" ht="7.5" customHeight="1">
      <c r="A35" s="22"/>
      <c r="B35" s="25"/>
      <c r="C35" s="321"/>
      <c r="D35" s="25"/>
      <c r="E35" s="311"/>
      <c r="F35" s="145"/>
      <c r="G35" s="311"/>
      <c r="H35" s="22"/>
    </row>
    <row r="36" spans="1:8" ht="15" hidden="1">
      <c r="A36" s="22"/>
      <c r="B36" s="25"/>
      <c r="C36" s="321"/>
      <c r="D36" s="25"/>
      <c r="E36" s="311"/>
      <c r="F36" s="145"/>
      <c r="G36" s="311"/>
      <c r="H36" s="22"/>
    </row>
    <row r="37" spans="1:8" ht="15">
      <c r="A37" s="22"/>
      <c r="B37" s="25"/>
      <c r="C37" s="315">
        <f>HYPERLINK("#'Balance Sheet'!C60","Average FIFO or Average Inventory (sum of 12 month-end or average monthly balances ÷ 12)")</f>
      </c>
      <c r="D37" s="25"/>
      <c r="E37" s="311"/>
      <c r="F37" s="322">
        <f>IF('Balance Sheet'!P60="Pass","Pass",IF('Balance Sheet'!P60="PassBecauseBlankAllowed","Pass",IF('Balance Sheet'!P60="PassBecauseNoConstraints","Pass","Fail")))</f>
      </c>
      <c r="G37" s="311"/>
      <c r="H37" s="22"/>
    </row>
    <row r="38" spans="1:8" ht="7.5" customHeight="1">
      <c r="A38" s="22"/>
      <c r="B38" s="25"/>
      <c r="C38" s="321"/>
      <c r="D38" s="25"/>
      <c r="E38" s="311"/>
      <c r="F38" s="145"/>
      <c r="G38" s="311"/>
      <c r="H38" s="22"/>
    </row>
    <row r="39" spans="1:8" ht="15" hidden="1">
      <c r="A39" s="22"/>
      <c r="B39" s="25"/>
      <c r="C39" s="321"/>
      <c r="D39" s="25"/>
      <c r="E39" s="311"/>
      <c r="F39" s="145"/>
      <c r="G39" s="311"/>
      <c r="H39" s="22"/>
    </row>
    <row r="40" spans="1:8" ht="15">
      <c r="A40" s="22"/>
      <c r="B40" s="25"/>
      <c r="C40" s="315">
        <f>HYPERLINK("#'Balance Sheet'!C61","Average Accounts Receivable (sum of 12 month-end balances ÷ 12)")</f>
      </c>
      <c r="D40" s="25"/>
      <c r="E40" s="311"/>
      <c r="F40" s="322">
        <f>IF('Balance Sheet'!P61="Pass","Pass",IF('Balance Sheet'!P61="PassBecauseBlankAllowed","Pass",IF('Balance Sheet'!P61="PassBecauseNoConstraints","Pass","Fail")))</f>
      </c>
      <c r="G40" s="311"/>
      <c r="H40" s="22"/>
    </row>
    <row r="41" spans="1:8" ht="7.5" customHeight="1">
      <c r="A41" s="22"/>
      <c r="B41" s="25"/>
      <c r="C41" s="321"/>
      <c r="D41" s="25"/>
      <c r="E41" s="311"/>
      <c r="F41" s="145"/>
      <c r="G41" s="311"/>
      <c r="H41" s="22"/>
    </row>
    <row r="42" spans="1:8" ht="15" hidden="1">
      <c r="A42" s="22"/>
      <c r="B42" s="25"/>
      <c r="C42" s="321"/>
      <c r="D42" s="25"/>
      <c r="E42" s="311"/>
      <c r="F42" s="145"/>
      <c r="G42" s="311"/>
      <c r="H42" s="22"/>
    </row>
    <row r="43" spans="1:8" ht="15">
      <c r="A43" s="22"/>
      <c r="B43" s="25"/>
      <c r="C43" s="315">
        <f>HYPERLINK("#'Balance Sheet'!C62","Average Accounts Payable (sum of 12 month-end balances ÷ 12)")</f>
      </c>
      <c r="D43" s="25"/>
      <c r="E43" s="311"/>
      <c r="F43" s="322">
        <f>IF('Balance Sheet'!P62="Pass","Pass",IF('Balance Sheet'!P62="PassBecauseBlankAllowed","Pass",IF('Balance Sheet'!P62="PassBecauseNoConstraints","Pass","Fail")))</f>
      </c>
      <c r="G43" s="311"/>
      <c r="H43" s="22"/>
    </row>
    <row r="44" spans="1:8" ht="7.5" customHeight="1">
      <c r="A44" s="22"/>
      <c r="B44" s="25"/>
      <c r="C44" s="321"/>
      <c r="D44" s="25"/>
      <c r="E44" s="311"/>
      <c r="F44" s="145"/>
      <c r="G44" s="311"/>
      <c r="H44" s="22"/>
    </row>
    <row r="45" spans="1:8" ht="15" hidden="1">
      <c r="A45" s="22"/>
      <c r="B45" s="25"/>
      <c r="C45" s="321"/>
      <c r="D45" s="25"/>
      <c r="E45" s="311"/>
      <c r="F45" s="145"/>
      <c r="G45" s="311"/>
      <c r="H45" s="22"/>
    </row>
    <row r="46" spans="1:8" ht="15">
      <c r="A46" s="22"/>
      <c r="B46" s="25"/>
      <c r="C46" s="315">
        <f>HYPERLINK("#'Balance Sheet'!C77","Cash and Marketable Securities")</f>
      </c>
      <c r="D46" s="25"/>
      <c r="E46" s="311"/>
      <c r="F46" s="322">
        <f>IF('Balance Sheet'!P77="Pass","Pass",IF('Balance Sheet'!P77="PassBecauseBlankAllowed","Pass",IF('Balance Sheet'!P77="PassBecauseNoConstraints","Pass","Fail")))</f>
      </c>
      <c r="G46" s="311"/>
      <c r="H46" s="22"/>
    </row>
    <row r="47" spans="1:8" ht="7.5" customHeight="1">
      <c r="A47" s="22"/>
      <c r="B47" s="25"/>
      <c r="C47" s="321"/>
      <c r="D47" s="25"/>
      <c r="E47" s="311"/>
      <c r="F47" s="145"/>
      <c r="G47" s="311"/>
      <c r="H47" s="22"/>
    </row>
    <row r="48" spans="1:8" ht="15" hidden="1">
      <c r="A48" s="22"/>
      <c r="B48" s="25"/>
      <c r="C48" s="321"/>
      <c r="D48" s="25"/>
      <c r="E48" s="311"/>
      <c r="F48" s="145"/>
      <c r="G48" s="311"/>
      <c r="H48" s="22"/>
    </row>
    <row r="49" spans="1:8" ht="15">
      <c r="A49" s="22"/>
      <c r="B49" s="25"/>
      <c r="C49" s="315">
        <f>HYPERLINK("#'Balance Sheet'!C78","Accounts Receivable")</f>
      </c>
      <c r="D49" s="25"/>
      <c r="E49" s="311"/>
      <c r="F49" s="322">
        <f>IF('Balance Sheet'!P78="Pass","Pass",IF('Balance Sheet'!P78="PassBecauseBlankAllowed","Pass",IF('Balance Sheet'!P78="PassBecauseNoConstraints","Pass","Fail")))</f>
      </c>
      <c r="G49" s="311"/>
      <c r="H49" s="22"/>
    </row>
    <row r="50" spans="1:8" ht="7.5" customHeight="1">
      <c r="A50" s="22"/>
      <c r="B50" s="25"/>
      <c r="C50" s="321"/>
      <c r="D50" s="25"/>
      <c r="E50" s="311"/>
      <c r="F50" s="145"/>
      <c r="G50" s="311"/>
      <c r="H50" s="22"/>
    </row>
    <row r="51" spans="1:8" ht="15" hidden="1">
      <c r="A51" s="22"/>
      <c r="B51" s="25"/>
      <c r="C51" s="321"/>
      <c r="D51" s="25"/>
      <c r="E51" s="311"/>
      <c r="F51" s="145"/>
      <c r="G51" s="311"/>
      <c r="H51" s="22"/>
    </row>
    <row r="52" spans="1:8" ht="15">
      <c r="A52" s="22"/>
      <c r="B52" s="25"/>
      <c r="C52" s="315">
        <f>HYPERLINK("#'Balance Sheet'!C79","Inventory (including LIFO Reserve if applicable)")</f>
      </c>
      <c r="D52" s="25"/>
      <c r="E52" s="311"/>
      <c r="F52" s="322">
        <f>IF('Balance Sheet'!P79="Pass","Pass",IF('Balance Sheet'!P79="PassBecauseBlankAllowed","Pass",IF('Balance Sheet'!P79="PassBecauseNoConstraints","Pass","Fail")))</f>
      </c>
      <c r="G52" s="311"/>
      <c r="H52" s="22"/>
    </row>
    <row r="53" spans="1:8" ht="7.5" customHeight="1">
      <c r="A53" s="22"/>
      <c r="B53" s="25"/>
      <c r="C53" s="321"/>
      <c r="D53" s="25"/>
      <c r="E53" s="311"/>
      <c r="F53" s="145"/>
      <c r="G53" s="311"/>
      <c r="H53" s="22"/>
    </row>
    <row r="54" spans="1:8" ht="15" hidden="1">
      <c r="A54" s="22"/>
      <c r="B54" s="25"/>
      <c r="C54" s="321"/>
      <c r="D54" s="25"/>
      <c r="E54" s="311"/>
      <c r="F54" s="145"/>
      <c r="G54" s="311"/>
      <c r="H54" s="22"/>
    </row>
    <row r="55" spans="1:8" ht="15">
      <c r="A55" s="22"/>
      <c r="B55" s="25"/>
      <c r="C55" s="315">
        <f>HYPERLINK("#'Balance Sheet'!C80","Other Current Assets")</f>
      </c>
      <c r="D55" s="25"/>
      <c r="E55" s="311"/>
      <c r="F55" s="322">
        <f>IF('Balance Sheet'!P80="Pass","Pass",IF('Balance Sheet'!P80="PassBecauseBlankAllowed","Pass",IF('Balance Sheet'!P80="PassBecauseNoConstraints","Pass","Fail")))</f>
      </c>
      <c r="G55" s="311"/>
      <c r="H55" s="22"/>
    </row>
    <row r="56" spans="1:8" ht="7.5" customHeight="1">
      <c r="A56" s="22"/>
      <c r="B56" s="25"/>
      <c r="C56" s="321"/>
      <c r="D56" s="25"/>
      <c r="E56" s="311"/>
      <c r="F56" s="145"/>
      <c r="G56" s="311"/>
      <c r="H56" s="22"/>
    </row>
    <row r="57" spans="1:8" ht="15" hidden="1">
      <c r="A57" s="22"/>
      <c r="B57" s="25"/>
      <c r="C57" s="321"/>
      <c r="D57" s="25"/>
      <c r="E57" s="311"/>
      <c r="F57" s="145"/>
      <c r="G57" s="311"/>
      <c r="H57" s="22"/>
    </row>
    <row r="58" spans="1:8" ht="15">
      <c r="A58" s="22"/>
      <c r="B58" s="25"/>
      <c r="C58" s="315">
        <f>HYPERLINK("#'Balance Sheet'!C83","Total Current Assets")</f>
      </c>
      <c r="D58" s="25"/>
      <c r="E58" s="311"/>
      <c r="F58" s="322">
        <f>IF('Balance Sheet'!P83="Pass","Pass",IF('Balance Sheet'!P83="PassBecauseBlankAllowed","Pass",IF('Balance Sheet'!P83="PassBecauseNoConstraints","Pass","Fail")))</f>
      </c>
      <c r="G58" s="311"/>
      <c r="H58" s="22"/>
    </row>
    <row r="59" spans="1:8" ht="7.5" customHeight="1">
      <c r="A59" s="22"/>
      <c r="B59" s="25"/>
      <c r="C59" s="321"/>
      <c r="D59" s="25"/>
      <c r="E59" s="311"/>
      <c r="F59" s="145"/>
      <c r="G59" s="311"/>
      <c r="H59" s="22"/>
    </row>
    <row r="60" spans="1:8" ht="15" hidden="1">
      <c r="A60" s="22"/>
      <c r="B60" s="25"/>
      <c r="C60" s="321"/>
      <c r="D60" s="25"/>
      <c r="E60" s="311"/>
      <c r="F60" s="145"/>
      <c r="G60" s="311"/>
      <c r="H60" s="22"/>
    </row>
    <row r="61" spans="1:8" ht="15">
      <c r="A61" s="22"/>
      <c r="B61" s="25"/>
      <c r="C61" s="315">
        <f>HYPERLINK("#'Balance Sheet'!C91","Total Fixed and Non-Current Assets")</f>
      </c>
      <c r="D61" s="25"/>
      <c r="E61" s="311"/>
      <c r="F61" s="322">
        <f>IF('Balance Sheet'!P91="Pass","Pass",IF('Balance Sheet'!P91="PassBecauseBlankAllowed","Pass",IF('Balance Sheet'!P91="PassBecauseNoConstraints","Pass","Fail")))</f>
      </c>
      <c r="G61" s="311"/>
      <c r="H61" s="22"/>
    </row>
    <row r="62" spans="1:8" ht="7.5" customHeight="1">
      <c r="A62" s="22"/>
      <c r="B62" s="25"/>
      <c r="C62" s="321"/>
      <c r="D62" s="25"/>
      <c r="E62" s="311"/>
      <c r="F62" s="145"/>
      <c r="G62" s="311"/>
      <c r="H62" s="22"/>
    </row>
    <row r="63" spans="1:8" ht="15" hidden="1">
      <c r="A63" s="22"/>
      <c r="B63" s="25"/>
      <c r="C63" s="321"/>
      <c r="D63" s="25"/>
      <c r="E63" s="311"/>
      <c r="F63" s="145"/>
      <c r="G63" s="311"/>
      <c r="H63" s="22"/>
    </row>
    <row r="64" spans="1:8" ht="15">
      <c r="A64" s="22"/>
      <c r="B64" s="25"/>
      <c r="C64" s="315">
        <f>HYPERLINK("#'Balance Sheet'!C96","Total Assets")</f>
      </c>
      <c r="D64" s="25"/>
      <c r="E64" s="311"/>
      <c r="F64" s="322">
        <f>IF('Balance Sheet'!P96="Pass","Pass",IF('Balance Sheet'!P96="PassBecauseBlankAllowed","Pass",IF('Balance Sheet'!P96="PassBecauseNoConstraints","Pass","Fail")))</f>
      </c>
      <c r="G64" s="311"/>
      <c r="H64" s="22"/>
    </row>
    <row r="65" spans="1:8" ht="7.5" customHeight="1">
      <c r="A65" s="22"/>
      <c r="B65" s="25"/>
      <c r="C65" s="321"/>
      <c r="D65" s="25"/>
      <c r="E65" s="311"/>
      <c r="F65" s="145"/>
      <c r="G65" s="311"/>
      <c r="H65" s="22"/>
    </row>
    <row r="66" spans="1:8" ht="15" hidden="1">
      <c r="A66" s="22"/>
      <c r="B66" s="25"/>
      <c r="C66" s="321"/>
      <c r="D66" s="25"/>
      <c r="E66" s="311"/>
      <c r="F66" s="145"/>
      <c r="G66" s="311"/>
      <c r="H66" s="22"/>
    </row>
    <row r="67" spans="1:8" ht="15">
      <c r="A67" s="22"/>
      <c r="B67" s="25"/>
      <c r="C67" s="315">
        <f>HYPERLINK("#'Balance Sheet'!C111","Trade Accounts Payable")</f>
      </c>
      <c r="D67" s="25"/>
      <c r="E67" s="311"/>
      <c r="F67" s="322">
        <f>IF('Balance Sheet'!P111="Pass","Pass",IF('Balance Sheet'!P111="PassBecauseBlankAllowed","Pass",IF('Balance Sheet'!P111="PassBecauseNoConstraints","Pass","Fail")))</f>
      </c>
      <c r="G67" s="311"/>
      <c r="H67" s="22"/>
    </row>
    <row r="68" spans="1:8" ht="7.5" customHeight="1">
      <c r="A68" s="22"/>
      <c r="B68" s="25"/>
      <c r="C68" s="321"/>
      <c r="D68" s="25"/>
      <c r="E68" s="311"/>
      <c r="F68" s="145"/>
      <c r="G68" s="311"/>
      <c r="H68" s="22"/>
    </row>
    <row r="69" spans="1:8" ht="15" hidden="1">
      <c r="A69" s="22"/>
      <c r="B69" s="25"/>
      <c r="C69" s="321"/>
      <c r="D69" s="25"/>
      <c r="E69" s="311"/>
      <c r="F69" s="145"/>
      <c r="G69" s="311"/>
      <c r="H69" s="22"/>
    </row>
    <row r="70" spans="1:8" ht="15">
      <c r="A70" s="22"/>
      <c r="B70" s="25"/>
      <c r="C70" s="315">
        <f>HYPERLINK("#'Balance Sheet'!C112","Notes Payable (due within 12 months + current portion LTD)")</f>
      </c>
      <c r="D70" s="25"/>
      <c r="E70" s="311"/>
      <c r="F70" s="322">
        <f>IF('Balance Sheet'!P112="Pass","Pass",IF('Balance Sheet'!P112="PassBecauseBlankAllowed","Pass",IF('Balance Sheet'!P112="PassBecauseNoConstraints","Pass","Fail")))</f>
      </c>
      <c r="G70" s="311"/>
      <c r="H70" s="22"/>
    </row>
    <row r="71" spans="1:8" ht="7.5" customHeight="1">
      <c r="A71" s="22"/>
      <c r="B71" s="25"/>
      <c r="C71" s="321"/>
      <c r="D71" s="25"/>
      <c r="E71" s="311"/>
      <c r="F71" s="145"/>
      <c r="G71" s="311"/>
      <c r="H71" s="22"/>
    </row>
    <row r="72" spans="1:8" ht="15" hidden="1">
      <c r="A72" s="22"/>
      <c r="B72" s="25"/>
      <c r="C72" s="321"/>
      <c r="D72" s="25"/>
      <c r="E72" s="311"/>
      <c r="F72" s="145"/>
      <c r="G72" s="311"/>
      <c r="H72" s="22"/>
    </row>
    <row r="73" spans="1:8" ht="15">
      <c r="A73" s="22"/>
      <c r="B73" s="25"/>
      <c r="C73" s="315">
        <f>HYPERLINK("#'Balance Sheet'!C113","Other Current Liabilities")</f>
      </c>
      <c r="D73" s="25"/>
      <c r="E73" s="311"/>
      <c r="F73" s="322">
        <f>IF('Balance Sheet'!P113="Pass","Pass",IF('Balance Sheet'!P113="PassBecauseBlankAllowed","Pass",IF('Balance Sheet'!P113="PassBecauseNoConstraints","Pass","Fail")))</f>
      </c>
      <c r="G73" s="311"/>
      <c r="H73" s="22"/>
    </row>
    <row r="74" spans="1:8" ht="7.5" customHeight="1">
      <c r="A74" s="22"/>
      <c r="B74" s="25"/>
      <c r="C74" s="321"/>
      <c r="D74" s="25"/>
      <c r="E74" s="311"/>
      <c r="F74" s="145"/>
      <c r="G74" s="311"/>
      <c r="H74" s="22"/>
    </row>
    <row r="75" spans="1:8" ht="15" hidden="1">
      <c r="A75" s="22"/>
      <c r="B75" s="25"/>
      <c r="C75" s="321"/>
      <c r="D75" s="25"/>
      <c r="E75" s="311"/>
      <c r="F75" s="145"/>
      <c r="G75" s="311"/>
      <c r="H75" s="22"/>
    </row>
    <row r="76" spans="1:8" ht="15">
      <c r="A76" s="22"/>
      <c r="B76" s="25"/>
      <c r="C76" s="315">
        <f>HYPERLINK("#'Balance Sheet'!C116","Total Current Liabilities")</f>
      </c>
      <c r="D76" s="25"/>
      <c r="E76" s="311"/>
      <c r="F76" s="322">
        <f>IF('Balance Sheet'!P116="Pass","Pass",IF('Balance Sheet'!P116="PassBecauseBlankAllowed","Pass",IF('Balance Sheet'!P116="PassBecauseNoConstraints","Pass","Fail")))</f>
      </c>
      <c r="G76" s="311"/>
      <c r="H76" s="22"/>
    </row>
    <row r="77" spans="1:8" ht="7.5" customHeight="1">
      <c r="A77" s="22"/>
      <c r="B77" s="25"/>
      <c r="C77" s="321"/>
      <c r="D77" s="25"/>
      <c r="E77" s="311"/>
      <c r="F77" s="145"/>
      <c r="G77" s="311"/>
      <c r="H77" s="22"/>
    </row>
    <row r="78" spans="1:8" ht="15" hidden="1">
      <c r="A78" s="22"/>
      <c r="B78" s="25"/>
      <c r="C78" s="321"/>
      <c r="D78" s="25"/>
      <c r="E78" s="311"/>
      <c r="F78" s="145"/>
      <c r="G78" s="311"/>
      <c r="H78" s="22"/>
    </row>
    <row r="79" spans="1:8" ht="15">
      <c r="A79" s="22"/>
      <c r="B79" s="25"/>
      <c r="C79" s="315">
        <f>HYPERLINK("#'Balance Sheet'!C124","Debt and Other Long Term Liabilities (due in more than 1 year)")</f>
      </c>
      <c r="D79" s="25"/>
      <c r="E79" s="311"/>
      <c r="F79" s="322">
        <f>IF('Balance Sheet'!P124="Pass","Pass",IF('Balance Sheet'!P124="PassBecauseBlankAllowed","Pass",IF('Balance Sheet'!P124="PassBecauseNoConstraints","Pass","Fail")))</f>
      </c>
      <c r="G79" s="311"/>
      <c r="H79" s="22"/>
    </row>
    <row r="80" spans="1:8" ht="7.5" customHeight="1">
      <c r="A80" s="22"/>
      <c r="B80" s="25"/>
      <c r="C80" s="321"/>
      <c r="D80" s="25"/>
      <c r="E80" s="311"/>
      <c r="F80" s="145"/>
      <c r="G80" s="311"/>
      <c r="H80" s="22"/>
    </row>
    <row r="81" spans="1:8" ht="15" hidden="1">
      <c r="A81" s="22"/>
      <c r="B81" s="25"/>
      <c r="C81" s="321"/>
      <c r="D81" s="25"/>
      <c r="E81" s="311"/>
      <c r="F81" s="145"/>
      <c r="G81" s="311"/>
      <c r="H81" s="22"/>
    </row>
    <row r="82" spans="1:8" ht="15">
      <c r="A82" s="22"/>
      <c r="B82" s="25"/>
      <c r="C82" s="315">
        <f>HYPERLINK("#'Balance Sheet'!C125","Loans From Stockholders")</f>
      </c>
      <c r="D82" s="25"/>
      <c r="E82" s="311"/>
      <c r="F82" s="322">
        <f>IF('Balance Sheet'!P125="Pass","Pass",IF('Balance Sheet'!P125="PassBecauseBlankAllowed","Pass",IF('Balance Sheet'!P125="PassBecauseNoConstraints","Pass","Fail")))</f>
      </c>
      <c r="G82" s="311"/>
      <c r="H82" s="22"/>
    </row>
    <row r="83" spans="1:8" ht="7.5" customHeight="1">
      <c r="A83" s="22"/>
      <c r="B83" s="25"/>
      <c r="C83" s="321"/>
      <c r="D83" s="25"/>
      <c r="E83" s="311"/>
      <c r="F83" s="145"/>
      <c r="G83" s="311"/>
      <c r="H83" s="22"/>
    </row>
    <row r="84" spans="1:8" ht="15" hidden="1">
      <c r="A84" s="22"/>
      <c r="B84" s="25"/>
      <c r="C84" s="321"/>
      <c r="D84" s="25"/>
      <c r="E84" s="311"/>
      <c r="F84" s="145"/>
      <c r="G84" s="311"/>
      <c r="H84" s="22"/>
    </row>
    <row r="85" spans="1:8" ht="15">
      <c r="A85" s="22"/>
      <c r="B85" s="25"/>
      <c r="C85" s="315">
        <f>HYPERLINK("#'Balance Sheet'!C128","Total Long Term Liabilities")</f>
      </c>
      <c r="D85" s="25"/>
      <c r="E85" s="311"/>
      <c r="F85" s="322">
        <f>IF('Balance Sheet'!P128="Pass","Pass",IF('Balance Sheet'!P128="PassBecauseBlankAllowed","Pass",IF('Balance Sheet'!P128="PassBecauseNoConstraints","Pass","Fail")))</f>
      </c>
      <c r="G85" s="311"/>
      <c r="H85" s="22"/>
    </row>
    <row r="86" spans="1:8" ht="7.5" customHeight="1">
      <c r="A86" s="22"/>
      <c r="B86" s="25"/>
      <c r="C86" s="321"/>
      <c r="D86" s="25"/>
      <c r="E86" s="311"/>
      <c r="F86" s="145"/>
      <c r="G86" s="311"/>
      <c r="H86" s="22"/>
    </row>
    <row r="87" spans="1:8" ht="15" hidden="1">
      <c r="A87" s="22"/>
      <c r="B87" s="25"/>
      <c r="C87" s="321"/>
      <c r="D87" s="25"/>
      <c r="E87" s="311"/>
      <c r="F87" s="145"/>
      <c r="G87" s="311"/>
      <c r="H87" s="22"/>
    </row>
    <row r="88" spans="1:8" ht="15">
      <c r="A88" s="22"/>
      <c r="B88" s="25"/>
      <c r="C88" s="315">
        <f>HYPERLINK("#'Balance Sheet'!C141","Net Worth or Owner Equity Before Current (YTD) Earnings")</f>
      </c>
      <c r="D88" s="25"/>
      <c r="E88" s="311"/>
      <c r="F88" s="322">
        <f>IF('Balance Sheet'!P141="Pass","Pass",IF('Balance Sheet'!P141="PassBecauseBlankAllowed","Pass",IF('Balance Sheet'!P141="PassBecauseNoConstraints","Pass","Fail")))</f>
      </c>
      <c r="G88" s="311"/>
      <c r="H88" s="22"/>
    </row>
    <row r="89" spans="1:8" ht="7.5" customHeight="1">
      <c r="A89" s="22"/>
      <c r="B89" s="25"/>
      <c r="C89" s="321"/>
      <c r="D89" s="25"/>
      <c r="E89" s="311"/>
      <c r="F89" s="145"/>
      <c r="G89" s="311"/>
      <c r="H89" s="22"/>
    </row>
    <row r="90" spans="1:8" ht="15" hidden="1">
      <c r="A90" s="22"/>
      <c r="B90" s="25"/>
      <c r="C90" s="321"/>
      <c r="D90" s="25"/>
      <c r="E90" s="311"/>
      <c r="F90" s="145"/>
      <c r="G90" s="311"/>
      <c r="H90" s="22"/>
    </row>
    <row r="91" spans="1:8" ht="15">
      <c r="A91" s="22"/>
      <c r="B91" s="25"/>
      <c r="C91" s="315">
        <f>HYPERLINK("#'Balance Sheet'!C142","Current (YTD) Earnings")</f>
      </c>
      <c r="D91" s="25"/>
      <c r="E91" s="311"/>
      <c r="F91" s="322">
        <f>IF('Balance Sheet'!P142="Pass","Pass",IF('Balance Sheet'!P142="PassBecauseBlankAllowed","Pass",IF('Balance Sheet'!P142="PassBecauseNoConstraints","Pass","Fail")))</f>
      </c>
      <c r="G91" s="311"/>
      <c r="H91" s="22"/>
    </row>
    <row r="92" spans="1:8" ht="7.5" customHeight="1">
      <c r="A92" s="22"/>
      <c r="B92" s="25"/>
      <c r="C92" s="321"/>
      <c r="D92" s="25"/>
      <c r="E92" s="311"/>
      <c r="F92" s="145"/>
      <c r="G92" s="311"/>
      <c r="H92" s="22"/>
    </row>
    <row r="93" spans="1:8" ht="15" hidden="1">
      <c r="A93" s="22"/>
      <c r="B93" s="25"/>
      <c r="C93" s="321"/>
      <c r="D93" s="25"/>
      <c r="E93" s="311"/>
      <c r="F93" s="145"/>
      <c r="G93" s="311"/>
      <c r="H93" s="22"/>
    </row>
    <row r="94" spans="1:8" ht="15">
      <c r="A94" s="22"/>
      <c r="B94" s="25"/>
      <c r="C94" s="315">
        <f>HYPERLINK("#'Balance Sheet'!C155","Assets - Liabilities + Equity")</f>
      </c>
      <c r="D94" s="25"/>
      <c r="E94" s="311"/>
      <c r="F94" s="322">
        <f>IF('Balance Sheet'!P155="Pass","Pass",IF('Balance Sheet'!P155="PassBecauseBlankAllowed","Pass",IF('Balance Sheet'!P155="PassBecauseNoConstraints","Pass","Fail")))</f>
      </c>
      <c r="G94" s="311"/>
      <c r="H94" s="22"/>
    </row>
    <row r="95" spans="1:8" ht="7.5" customHeight="1">
      <c r="A95" s="22"/>
      <c r="B95" s="25"/>
      <c r="C95" s="321"/>
      <c r="D95" s="25"/>
      <c r="E95" s="311"/>
      <c r="F95" s="145"/>
      <c r="G95" s="311"/>
      <c r="H95" s="22"/>
    </row>
    <row r="96" spans="1:8" ht="22.5" customHeight="1">
      <c r="A96" s="22"/>
      <c r="B96" s="25"/>
      <c r="C96" s="320"/>
      <c r="D96" s="25"/>
      <c r="E96" s="311"/>
      <c r="F96" s="145"/>
      <c r="G96" s="311"/>
      <c r="H96" s="22"/>
    </row>
    <row r="97" spans="1:8" ht="15" customHeight="1">
      <c r="A97" s="22"/>
      <c r="B97" s="25"/>
      <c r="C97" s="39" t="s">
        <v>383</v>
      </c>
      <c r="D97" s="25"/>
      <c r="E97" s="311"/>
      <c r="F97" s="145"/>
      <c r="G97" s="311"/>
      <c r="H97" s="22"/>
    </row>
    <row r="98" spans="1:8" ht="7.5" customHeight="1">
      <c r="A98" s="22"/>
      <c r="B98" s="25"/>
      <c r="C98" s="320"/>
      <c r="D98" s="25"/>
      <c r="E98" s="311"/>
      <c r="F98" s="145"/>
      <c r="G98" s="311"/>
      <c r="H98" s="22"/>
    </row>
    <row r="99" spans="1:8" ht="15" hidden="1">
      <c r="A99" s="22"/>
      <c r="B99" s="25"/>
      <c r="C99" s="321"/>
      <c r="D99" s="25"/>
      <c r="E99" s="311"/>
      <c r="F99" s="145"/>
      <c r="G99" s="311"/>
      <c r="H99" s="22"/>
    </row>
    <row r="100" spans="1:8" ht="15">
      <c r="A100" s="22"/>
      <c r="B100" s="25"/>
      <c r="C100" s="315">
        <f>HYPERLINK("#'Income Statement'!C25","Warehouse Sales (stocked items)")</f>
      </c>
      <c r="D100" s="25"/>
      <c r="E100" s="311"/>
      <c r="F100" s="322">
        <f>IF('Income Statement'!P25="Pass","Pass",IF('Income Statement'!P25="PassBecauseBlankAllowed","Pass",IF('Income Statement'!P25="PassBecauseNoConstraints","Pass","Fail")))</f>
      </c>
      <c r="G100" s="311"/>
      <c r="H100" s="22"/>
    </row>
    <row r="101" spans="1:8" ht="7.5" customHeight="1">
      <c r="A101" s="22"/>
      <c r="B101" s="25"/>
      <c r="C101" s="321"/>
      <c r="D101" s="25"/>
      <c r="E101" s="311"/>
      <c r="F101" s="145"/>
      <c r="G101" s="311"/>
      <c r="H101" s="22"/>
    </row>
    <row r="102" spans="1:8" ht="15" hidden="1">
      <c r="A102" s="22"/>
      <c r="B102" s="25"/>
      <c r="C102" s="321"/>
      <c r="D102" s="25"/>
      <c r="E102" s="311"/>
      <c r="F102" s="145"/>
      <c r="G102" s="311"/>
      <c r="H102" s="22"/>
    </row>
    <row r="103" spans="1:8" ht="15">
      <c r="A103" s="22"/>
      <c r="B103" s="25"/>
      <c r="C103" s="315">
        <f>HYPERLINK("#'Income Statement'!C26","Special Order (arrive at your dock before delivery to customer)")</f>
      </c>
      <c r="D103" s="25"/>
      <c r="E103" s="311"/>
      <c r="F103" s="322">
        <f>IF('Income Statement'!P26="Pass","Pass",IF('Income Statement'!P26="PassBecauseBlankAllowed","Pass",IF('Income Statement'!P26="PassBecauseNoConstraints","Pass","Fail")))</f>
      </c>
      <c r="G103" s="311"/>
      <c r="H103" s="22"/>
    </row>
    <row r="104" spans="1:8" ht="7.5" customHeight="1">
      <c r="A104" s="22"/>
      <c r="B104" s="25"/>
      <c r="C104" s="321"/>
      <c r="D104" s="25"/>
      <c r="E104" s="311"/>
      <c r="F104" s="145"/>
      <c r="G104" s="311"/>
      <c r="H104" s="22"/>
    </row>
    <row r="105" spans="1:8" ht="15" hidden="1">
      <c r="A105" s="22"/>
      <c r="B105" s="25"/>
      <c r="C105" s="321"/>
      <c r="D105" s="25"/>
      <c r="E105" s="311"/>
      <c r="F105" s="145"/>
      <c r="G105" s="311"/>
      <c r="H105" s="22"/>
    </row>
    <row r="106" spans="1:8" ht="15">
      <c r="A106" s="22"/>
      <c r="B106" s="25"/>
      <c r="C106" s="315">
        <f>HYPERLINK("#'Income Statement'!C27","Drop Shipment (shipped by supplier directly to the customer)")</f>
      </c>
      <c r="D106" s="25"/>
      <c r="E106" s="311"/>
      <c r="F106" s="322">
        <f>IF('Income Statement'!P27="Pass","Pass",IF('Income Statement'!P27="PassBecauseBlankAllowed","Pass",IF('Income Statement'!P27="PassBecauseNoConstraints","Pass","Fail")))</f>
      </c>
      <c r="G106" s="311"/>
      <c r="H106" s="22"/>
    </row>
    <row r="107" spans="1:8" ht="7.5" customHeight="1">
      <c r="A107" s="22"/>
      <c r="B107" s="25"/>
      <c r="C107" s="321"/>
      <c r="D107" s="25"/>
      <c r="E107" s="311"/>
      <c r="F107" s="145"/>
      <c r="G107" s="311"/>
      <c r="H107" s="22"/>
    </row>
    <row r="108" spans="1:8" ht="15" hidden="1">
      <c r="A108" s="22"/>
      <c r="B108" s="25"/>
      <c r="C108" s="321"/>
      <c r="D108" s="25"/>
      <c r="E108" s="311"/>
      <c r="F108" s="145"/>
      <c r="G108" s="311"/>
      <c r="H108" s="22"/>
    </row>
    <row r="109" spans="1:8" ht="15">
      <c r="A109" s="22"/>
      <c r="B109" s="25"/>
      <c r="C109" s="315">
        <f>HYPERLINK("#'Income Statement'!C28","Other Sales")</f>
      </c>
      <c r="D109" s="25"/>
      <c r="E109" s="311"/>
      <c r="F109" s="322">
        <f>IF('Income Statement'!P28="Pass","Pass",IF('Income Statement'!P28="PassBecauseBlankAllowed","Pass",IF('Income Statement'!P28="PassBecauseNoConstraints","Pass","Fail")))</f>
      </c>
      <c r="G109" s="311"/>
      <c r="H109" s="22"/>
    </row>
    <row r="110" spans="1:8" ht="7.5" customHeight="1">
      <c r="A110" s="22"/>
      <c r="B110" s="25"/>
      <c r="C110" s="321"/>
      <c r="D110" s="25"/>
      <c r="E110" s="311"/>
      <c r="F110" s="145"/>
      <c r="G110" s="311"/>
      <c r="H110" s="22"/>
    </row>
    <row r="111" spans="1:8" ht="15" hidden="1">
      <c r="A111" s="22"/>
      <c r="B111" s="25"/>
      <c r="C111" s="321"/>
      <c r="D111" s="25"/>
      <c r="E111" s="311"/>
      <c r="F111" s="145"/>
      <c r="G111" s="311"/>
      <c r="H111" s="22"/>
    </row>
    <row r="112" spans="1:8" ht="15">
      <c r="A112" s="22"/>
      <c r="B112" s="25"/>
      <c r="C112" s="315">
        <f>HYPERLINK("#'Income Statement'!C31","Total Sales (less returns, discounts, and allowances)")</f>
      </c>
      <c r="D112" s="25"/>
      <c r="E112" s="311"/>
      <c r="F112" s="322">
        <f>IF('Income Statement'!P31="Pass","Pass",IF('Income Statement'!P31="PassBecauseBlankAllowed","Pass",IF('Income Statement'!P31="PassBecauseNoConstraints","Pass","Fail")))</f>
      </c>
      <c r="G112" s="311"/>
      <c r="H112" s="22"/>
    </row>
    <row r="113" spans="1:8" ht="7.5" customHeight="1">
      <c r="A113" s="22"/>
      <c r="B113" s="25"/>
      <c r="C113" s="321"/>
      <c r="D113" s="25"/>
      <c r="E113" s="311"/>
      <c r="F113" s="145"/>
      <c r="G113" s="311"/>
      <c r="H113" s="22"/>
    </row>
    <row r="114" spans="1:8" ht="15" hidden="1">
      <c r="A114" s="22"/>
      <c r="B114" s="25"/>
      <c r="C114" s="321"/>
      <c r="D114" s="25"/>
      <c r="E114" s="311"/>
      <c r="F114" s="145"/>
      <c r="G114" s="311"/>
      <c r="H114" s="22"/>
    </row>
    <row r="115" spans="1:8" ht="15">
      <c r="A115" s="22"/>
      <c r="B115" s="25"/>
      <c r="C115" s="315">
        <f>HYPERLINK("#'Income Statement'!C48","Warehouse")</f>
      </c>
      <c r="D115" s="25"/>
      <c r="E115" s="311"/>
      <c r="F115" s="322">
        <f>IF('Income Statement'!P48="Pass","Pass",IF('Income Statement'!P48="PassBecauseBlankAllowed","Pass",IF('Income Statement'!P48="PassBecauseNoConstraints","Pass","Fail")))</f>
      </c>
      <c r="G115" s="311"/>
      <c r="H115" s="22"/>
    </row>
    <row r="116" spans="1:8" ht="7.5" customHeight="1">
      <c r="A116" s="22"/>
      <c r="B116" s="25"/>
      <c r="C116" s="321"/>
      <c r="D116" s="25"/>
      <c r="E116" s="311"/>
      <c r="F116" s="145"/>
      <c r="G116" s="311"/>
      <c r="H116" s="22"/>
    </row>
    <row r="117" spans="1:8" ht="15" hidden="1">
      <c r="A117" s="22"/>
      <c r="B117" s="25"/>
      <c r="C117" s="321"/>
      <c r="D117" s="25"/>
      <c r="E117" s="311"/>
      <c r="F117" s="145"/>
      <c r="G117" s="311"/>
      <c r="H117" s="22"/>
    </row>
    <row r="118" spans="1:8" ht="15">
      <c r="A118" s="22"/>
      <c r="B118" s="25"/>
      <c r="C118" s="315">
        <f>HYPERLINK("#'Income Statement'!C49","Special Order")</f>
      </c>
      <c r="D118" s="25"/>
      <c r="E118" s="311"/>
      <c r="F118" s="322">
        <f>IF('Income Statement'!P49="Pass","Pass",IF('Income Statement'!P49="PassBecauseBlankAllowed","Pass",IF('Income Statement'!P49="PassBecauseNoConstraints","Pass","Fail")))</f>
      </c>
      <c r="G118" s="311"/>
      <c r="H118" s="22"/>
    </row>
    <row r="119" spans="1:8" ht="7.5" customHeight="1">
      <c r="A119" s="22"/>
      <c r="B119" s="25"/>
      <c r="C119" s="321"/>
      <c r="D119" s="25"/>
      <c r="E119" s="311"/>
      <c r="F119" s="145"/>
      <c r="G119" s="311"/>
      <c r="H119" s="22"/>
    </row>
    <row r="120" spans="1:8" ht="15" hidden="1">
      <c r="A120" s="22"/>
      <c r="B120" s="25"/>
      <c r="C120" s="321"/>
      <c r="D120" s="25"/>
      <c r="E120" s="311"/>
      <c r="F120" s="145"/>
      <c r="G120" s="311"/>
      <c r="H120" s="22"/>
    </row>
    <row r="121" spans="1:8" ht="15">
      <c r="A121" s="22"/>
      <c r="B121" s="25"/>
      <c r="C121" s="315">
        <f>HYPERLINK("#'Income Statement'!C50","Drop Shipment")</f>
      </c>
      <c r="D121" s="25"/>
      <c r="E121" s="311"/>
      <c r="F121" s="322">
        <f>IF('Income Statement'!P50="Pass","Pass",IF('Income Statement'!P50="PassBecauseBlankAllowed","Pass",IF('Income Statement'!P50="PassBecauseNoConstraints","Pass","Fail")))</f>
      </c>
      <c r="G121" s="311"/>
      <c r="H121" s="22"/>
    </row>
    <row r="122" spans="1:8" ht="7.5" customHeight="1">
      <c r="A122" s="22"/>
      <c r="B122" s="25"/>
      <c r="C122" s="321"/>
      <c r="D122" s="25"/>
      <c r="E122" s="311"/>
      <c r="F122" s="145"/>
      <c r="G122" s="311"/>
      <c r="H122" s="22"/>
    </row>
    <row r="123" spans="1:8" ht="15" hidden="1">
      <c r="A123" s="22"/>
      <c r="B123" s="25"/>
      <c r="C123" s="321"/>
      <c r="D123" s="25"/>
      <c r="E123" s="311"/>
      <c r="F123" s="145"/>
      <c r="G123" s="311"/>
      <c r="H123" s="22"/>
    </row>
    <row r="124" spans="1:8" ht="15">
      <c r="A124" s="22"/>
      <c r="B124" s="25"/>
      <c r="C124" s="315">
        <f>HYPERLINK("#'Income Statement'!C51","Other")</f>
      </c>
      <c r="D124" s="25"/>
      <c r="E124" s="311"/>
      <c r="F124" s="322">
        <f>IF('Income Statement'!P51="Pass","Pass",IF('Income Statement'!P51="PassBecauseBlankAllowed","Pass",IF('Income Statement'!P51="PassBecauseNoConstraints","Pass","Fail")))</f>
      </c>
      <c r="G124" s="311"/>
      <c r="H124" s="22"/>
    </row>
    <row r="125" spans="1:8" ht="7.5" customHeight="1">
      <c r="A125" s="22"/>
      <c r="B125" s="25"/>
      <c r="C125" s="321"/>
      <c r="D125" s="25"/>
      <c r="E125" s="311"/>
      <c r="F125" s="145"/>
      <c r="G125" s="311"/>
      <c r="H125" s="22"/>
    </row>
    <row r="126" spans="1:8" ht="15" hidden="1">
      <c r="A126" s="22"/>
      <c r="B126" s="25"/>
      <c r="C126" s="321"/>
      <c r="D126" s="25"/>
      <c r="E126" s="311"/>
      <c r="F126" s="145"/>
      <c r="G126" s="311"/>
      <c r="H126" s="22"/>
    </row>
    <row r="127" spans="1:8" ht="15">
      <c r="A127" s="22"/>
      <c r="B127" s="25"/>
      <c r="C127" s="315">
        <f>HYPERLINK("#'Income Statement'!C54","Gross Cost of Goods Sold")</f>
      </c>
      <c r="D127" s="25"/>
      <c r="E127" s="311"/>
      <c r="F127" s="322">
        <f>IF('Income Statement'!P54="Pass","Pass",IF('Income Statement'!P54="PassBecauseBlankAllowed","Pass",IF('Income Statement'!P54="PassBecauseNoConstraints","Pass","Fail")))</f>
      </c>
      <c r="G127" s="311"/>
      <c r="H127" s="22"/>
    </row>
    <row r="128" spans="1:8" ht="7.5" customHeight="1">
      <c r="A128" s="22"/>
      <c r="B128" s="25"/>
      <c r="C128" s="321"/>
      <c r="D128" s="25"/>
      <c r="E128" s="311"/>
      <c r="F128" s="145"/>
      <c r="G128" s="311"/>
      <c r="H128" s="22"/>
    </row>
    <row r="129" spans="1:8" ht="15" hidden="1">
      <c r="A129" s="22"/>
      <c r="B129" s="25"/>
      <c r="C129" s="321"/>
      <c r="D129" s="25"/>
      <c r="E129" s="311"/>
      <c r="F129" s="145"/>
      <c r="G129" s="311"/>
      <c r="H129" s="22"/>
    </row>
    <row r="130" spans="1:8" ht="15">
      <c r="A130" s="22"/>
      <c r="B130" s="25"/>
      <c r="C130" s="315">
        <f>HYPERLINK("#'Income Statement'!C69","Vendor Discounts")</f>
      </c>
      <c r="D130" s="25"/>
      <c r="E130" s="311"/>
      <c r="F130" s="322">
        <f>IF('Income Statement'!P69="Pass","Pass",IF('Income Statement'!P69="PassBecauseBlankAllowed","Pass",IF('Income Statement'!P69="PassBecauseNoConstraints","Pass","Fail")))</f>
      </c>
      <c r="G130" s="311"/>
      <c r="H130" s="22"/>
    </row>
    <row r="131" spans="1:8" ht="7.5" customHeight="1">
      <c r="A131" s="22"/>
      <c r="B131" s="25"/>
      <c r="C131" s="321"/>
      <c r="D131" s="25"/>
      <c r="E131" s="311"/>
      <c r="F131" s="145"/>
      <c r="G131" s="311"/>
      <c r="H131" s="22"/>
    </row>
    <row r="132" spans="1:8" ht="15" hidden="1">
      <c r="A132" s="22"/>
      <c r="B132" s="25"/>
      <c r="C132" s="321"/>
      <c r="D132" s="25"/>
      <c r="E132" s="311"/>
      <c r="F132" s="145"/>
      <c r="G132" s="311"/>
      <c r="H132" s="22"/>
    </row>
    <row r="133" spans="1:8" ht="15">
      <c r="A133" s="22"/>
      <c r="B133" s="25"/>
      <c r="C133" s="315">
        <f>HYPERLINK("#'Income Statement'!C70","Vendor and Buy Group Rebates")</f>
      </c>
      <c r="D133" s="25"/>
      <c r="E133" s="311"/>
      <c r="F133" s="322">
        <f>IF('Income Statement'!P70="Pass","Pass",IF('Income Statement'!P70="PassBecauseBlankAllowed","Pass",IF('Income Statement'!P70="PassBecauseNoConstraints","Pass","Fail")))</f>
      </c>
      <c r="G133" s="311"/>
      <c r="H133" s="22"/>
    </row>
    <row r="134" spans="1:8" ht="7.5" customHeight="1">
      <c r="A134" s="22"/>
      <c r="B134" s="25"/>
      <c r="C134" s="321"/>
      <c r="D134" s="25"/>
      <c r="E134" s="311"/>
      <c r="F134" s="145"/>
      <c r="G134" s="311"/>
      <c r="H134" s="22"/>
    </row>
    <row r="135" spans="1:8" ht="15" hidden="1">
      <c r="A135" s="22"/>
      <c r="B135" s="25"/>
      <c r="C135" s="321"/>
      <c r="D135" s="25"/>
      <c r="E135" s="311"/>
      <c r="F135" s="145"/>
      <c r="G135" s="311"/>
      <c r="H135" s="22"/>
    </row>
    <row r="136" spans="1:8" ht="15">
      <c r="A136" s="22"/>
      <c r="B136" s="25"/>
      <c r="C136" s="315">
        <f>HYPERLINK("#'Income Statement'!C99","Executive Wage (officers, owners, key managers)")</f>
      </c>
      <c r="D136" s="25"/>
      <c r="E136" s="311"/>
      <c r="F136" s="322">
        <f>IF('Income Statement'!P99="Pass","Pass",IF('Income Statement'!P99="PassBecauseBlankAllowed","Pass",IF('Income Statement'!P99="PassBecauseNoConstraints","Pass","Fail")))</f>
      </c>
      <c r="G136" s="311"/>
      <c r="H136" s="22"/>
    </row>
    <row r="137" spans="1:8" ht="7.5" customHeight="1">
      <c r="A137" s="22"/>
      <c r="B137" s="25"/>
      <c r="C137" s="321"/>
      <c r="D137" s="25"/>
      <c r="E137" s="311"/>
      <c r="F137" s="145"/>
      <c r="G137" s="311"/>
      <c r="H137" s="22"/>
    </row>
    <row r="138" spans="1:8" ht="15" hidden="1">
      <c r="A138" s="22"/>
      <c r="B138" s="25"/>
      <c r="C138" s="321"/>
      <c r="D138" s="25"/>
      <c r="E138" s="311"/>
      <c r="F138" s="145"/>
      <c r="G138" s="311"/>
      <c r="H138" s="22"/>
    </row>
    <row r="139" spans="1:8" ht="15">
      <c r="A139" s="22"/>
      <c r="B139" s="25"/>
      <c r="C139" s="315">
        <f>HYPERLINK("#'Income Statement'!C100","Sales Exec Wage")</f>
      </c>
      <c r="D139" s="25"/>
      <c r="E139" s="311"/>
      <c r="F139" s="322">
        <f>IF('Income Statement'!P100="Pass","Pass",IF('Income Statement'!P100="PassBecauseBlankAllowed","Pass",IF('Income Statement'!P100="PassBecauseNoConstraints","Pass","Fail")))</f>
      </c>
      <c r="G139" s="311"/>
      <c r="H139" s="22"/>
    </row>
    <row r="140" spans="1:8" ht="7.5" customHeight="1">
      <c r="A140" s="22"/>
      <c r="B140" s="25"/>
      <c r="C140" s="321"/>
      <c r="D140" s="25"/>
      <c r="E140" s="311"/>
      <c r="F140" s="145"/>
      <c r="G140" s="311"/>
      <c r="H140" s="22"/>
    </row>
    <row r="141" spans="1:8" ht="15" hidden="1">
      <c r="A141" s="22"/>
      <c r="B141" s="25"/>
      <c r="C141" s="321"/>
      <c r="D141" s="25"/>
      <c r="E141" s="311"/>
      <c r="F141" s="145"/>
      <c r="G141" s="311"/>
      <c r="H141" s="22"/>
    </row>
    <row r="142" spans="1:8" ht="15">
      <c r="A142" s="22"/>
      <c r="B142" s="25"/>
      <c r="C142" s="315">
        <f>HYPERLINK("#'Income Statement'!C101","Outside Sales Wage")</f>
      </c>
      <c r="D142" s="25"/>
      <c r="E142" s="311"/>
      <c r="F142" s="322">
        <f>IF('Income Statement'!P101="Pass","Pass",IF('Income Statement'!P101="PassBecauseBlankAllowed","Pass",IF('Income Statement'!P101="PassBecauseNoConstraints","Pass","Fail")))</f>
      </c>
      <c r="G142" s="311"/>
      <c r="H142" s="22"/>
    </row>
    <row r="143" spans="1:8" ht="7.5" customHeight="1">
      <c r="A143" s="22"/>
      <c r="B143" s="25"/>
      <c r="C143" s="321"/>
      <c r="D143" s="25"/>
      <c r="E143" s="311"/>
      <c r="F143" s="145"/>
      <c r="G143" s="311"/>
      <c r="H143" s="22"/>
    </row>
    <row r="144" spans="1:8" ht="15" hidden="1">
      <c r="A144" s="22"/>
      <c r="B144" s="25"/>
      <c r="C144" s="321"/>
      <c r="D144" s="25"/>
      <c r="E144" s="311"/>
      <c r="F144" s="145"/>
      <c r="G144" s="311"/>
      <c r="H144" s="22"/>
    </row>
    <row r="145" spans="1:8" ht="15">
      <c r="A145" s="22"/>
      <c r="B145" s="25"/>
      <c r="C145" s="315">
        <f>HYPERLINK("#'Income Statement'!C102","Inside Sales Wage (including counter sales)")</f>
      </c>
      <c r="D145" s="25"/>
      <c r="E145" s="311"/>
      <c r="F145" s="322">
        <f>IF('Income Statement'!P102="Pass","Pass",IF('Income Statement'!P102="PassBecauseBlankAllowed","Pass",IF('Income Statement'!P102="PassBecauseNoConstraints","Pass","Fail")))</f>
      </c>
      <c r="G145" s="311"/>
      <c r="H145" s="22"/>
    </row>
    <row r="146" spans="1:8" ht="7.5" customHeight="1">
      <c r="A146" s="22"/>
      <c r="B146" s="25"/>
      <c r="C146" s="321"/>
      <c r="D146" s="25"/>
      <c r="E146" s="311"/>
      <c r="F146" s="145"/>
      <c r="G146" s="311"/>
      <c r="H146" s="22"/>
    </row>
    <row r="147" spans="1:8" ht="15" hidden="1">
      <c r="A147" s="22"/>
      <c r="B147" s="25"/>
      <c r="C147" s="321"/>
      <c r="D147" s="25"/>
      <c r="E147" s="311"/>
      <c r="F147" s="145"/>
      <c r="G147" s="311"/>
      <c r="H147" s="22"/>
    </row>
    <row r="148" spans="1:8" ht="15">
      <c r="A148" s="22"/>
      <c r="B148" s="25"/>
      <c r="C148" s="315">
        <f>HYPERLINK("#'Income Statement'!C103","Branch Managers Wage")</f>
      </c>
      <c r="D148" s="25"/>
      <c r="E148" s="311"/>
      <c r="F148" s="322">
        <f>IF('Income Statement'!P103="Pass","Pass",IF('Income Statement'!P103="PassBecauseBlankAllowed","Pass",IF('Income Statement'!P103="PassBecauseNoConstraints","Pass","Fail")))</f>
      </c>
      <c r="G148" s="311"/>
      <c r="H148" s="22"/>
    </row>
    <row r="149" spans="1:8" ht="7.5" customHeight="1">
      <c r="A149" s="22"/>
      <c r="B149" s="25"/>
      <c r="C149" s="321"/>
      <c r="D149" s="25"/>
      <c r="E149" s="311"/>
      <c r="F149" s="145"/>
      <c r="G149" s="311"/>
      <c r="H149" s="22"/>
    </row>
    <row r="150" spans="1:8" ht="15" hidden="1">
      <c r="A150" s="22"/>
      <c r="B150" s="25"/>
      <c r="C150" s="321"/>
      <c r="D150" s="25"/>
      <c r="E150" s="311"/>
      <c r="F150" s="145"/>
      <c r="G150" s="311"/>
      <c r="H150" s="22"/>
    </row>
    <row r="151" spans="1:8" ht="15">
      <c r="A151" s="22"/>
      <c r="B151" s="25"/>
      <c r="C151" s="315">
        <f>HYPERLINK("#'Income Statement'!C104","Warehouse Wage")</f>
      </c>
      <c r="D151" s="25"/>
      <c r="E151" s="311"/>
      <c r="F151" s="322">
        <f>IF('Income Statement'!P104="Pass","Pass",IF('Income Statement'!P104="PassBecauseBlankAllowed","Pass",IF('Income Statement'!P104="PassBecauseNoConstraints","Pass","Fail")))</f>
      </c>
      <c r="G151" s="311"/>
      <c r="H151" s="22"/>
    </row>
    <row r="152" spans="1:8" ht="7.5" customHeight="1">
      <c r="A152" s="22"/>
      <c r="B152" s="25"/>
      <c r="C152" s="321"/>
      <c r="D152" s="25"/>
      <c r="E152" s="311"/>
      <c r="F152" s="145"/>
      <c r="G152" s="311"/>
      <c r="H152" s="22"/>
    </row>
    <row r="153" spans="1:8" ht="15" hidden="1">
      <c r="A153" s="22"/>
      <c r="B153" s="25"/>
      <c r="C153" s="321"/>
      <c r="D153" s="25"/>
      <c r="E153" s="311"/>
      <c r="F153" s="145"/>
      <c r="G153" s="311"/>
      <c r="H153" s="22"/>
    </row>
    <row r="154" spans="1:8" ht="15">
      <c r="A154" s="22"/>
      <c r="B154" s="25"/>
      <c r="C154" s="315">
        <f>HYPERLINK("#'Income Statement'!C105","Delivery Wage")</f>
      </c>
      <c r="D154" s="25"/>
      <c r="E154" s="311"/>
      <c r="F154" s="322">
        <f>IF('Income Statement'!P105="Pass","Pass",IF('Income Statement'!P105="PassBecauseBlankAllowed","Pass",IF('Income Statement'!P105="PassBecauseNoConstraints","Pass","Fail")))</f>
      </c>
      <c r="G154" s="311"/>
      <c r="H154" s="22"/>
    </row>
    <row r="155" spans="1:8" ht="7.5" customHeight="1">
      <c r="A155" s="22"/>
      <c r="B155" s="25"/>
      <c r="C155" s="321"/>
      <c r="D155" s="25"/>
      <c r="E155" s="311"/>
      <c r="F155" s="145"/>
      <c r="G155" s="311"/>
      <c r="H155" s="22"/>
    </row>
    <row r="156" spans="1:8" ht="15" hidden="1">
      <c r="A156" s="22"/>
      <c r="B156" s="25"/>
      <c r="C156" s="321"/>
      <c r="D156" s="25"/>
      <c r="E156" s="311"/>
      <c r="F156" s="145"/>
      <c r="G156" s="311"/>
      <c r="H156" s="22"/>
    </row>
    <row r="157" spans="1:8" ht="15">
      <c r="A157" s="22"/>
      <c r="B157" s="25"/>
      <c r="C157" s="315">
        <f>HYPERLINK("#'Income Statement'!C106","Accounting Wage")</f>
      </c>
      <c r="D157" s="25"/>
      <c r="E157" s="311"/>
      <c r="F157" s="322">
        <f>IF('Income Statement'!P106="Pass","Pass",IF('Income Statement'!P106="PassBecauseBlankAllowed","Pass",IF('Income Statement'!P106="PassBecauseNoConstraints","Pass","Fail")))</f>
      </c>
      <c r="G157" s="311"/>
      <c r="H157" s="22"/>
    </row>
    <row r="158" spans="1:8" ht="7.5" customHeight="1">
      <c r="A158" s="22"/>
      <c r="B158" s="25"/>
      <c r="C158" s="321"/>
      <c r="D158" s="25"/>
      <c r="E158" s="311"/>
      <c r="F158" s="145"/>
      <c r="G158" s="311"/>
      <c r="H158" s="22"/>
    </row>
    <row r="159" spans="1:8" ht="15" hidden="1">
      <c r="A159" s="22"/>
      <c r="B159" s="25"/>
      <c r="C159" s="321"/>
      <c r="D159" s="25"/>
      <c r="E159" s="311"/>
      <c r="F159" s="145"/>
      <c r="G159" s="311"/>
      <c r="H159" s="22"/>
    </row>
    <row r="160" spans="1:8" ht="15">
      <c r="A160" s="22"/>
      <c r="B160" s="25"/>
      <c r="C160" s="315">
        <f>HYPERLINK("#'Income Statement'!C107","Credit Dept. Wage")</f>
      </c>
      <c r="D160" s="25"/>
      <c r="E160" s="311"/>
      <c r="F160" s="322">
        <f>IF('Income Statement'!P107="Pass","Pass",IF('Income Statement'!P107="PassBecauseBlankAllowed","Pass",IF('Income Statement'!P107="PassBecauseNoConstraints","Pass","Fail")))</f>
      </c>
      <c r="G160" s="311"/>
      <c r="H160" s="22"/>
    </row>
    <row r="161" spans="1:8" ht="7.5" customHeight="1">
      <c r="A161" s="22"/>
      <c r="B161" s="25"/>
      <c r="C161" s="321"/>
      <c r="D161" s="25"/>
      <c r="E161" s="311"/>
      <c r="F161" s="145"/>
      <c r="G161" s="311"/>
      <c r="H161" s="22"/>
    </row>
    <row r="162" spans="1:8" ht="15" hidden="1">
      <c r="A162" s="22"/>
      <c r="B162" s="25"/>
      <c r="C162" s="321"/>
      <c r="D162" s="25"/>
      <c r="E162" s="311"/>
      <c r="F162" s="145"/>
      <c r="G162" s="311"/>
      <c r="H162" s="22"/>
    </row>
    <row r="163" spans="1:8" ht="15">
      <c r="A163" s="22"/>
      <c r="B163" s="25"/>
      <c r="C163" s="315">
        <f>HYPERLINK("#'Income Statement'!C108","Purchasing Dept. Wage")</f>
      </c>
      <c r="D163" s="25"/>
      <c r="E163" s="311"/>
      <c r="F163" s="322">
        <f>IF('Income Statement'!P108="Pass","Pass",IF('Income Statement'!P108="PassBecauseBlankAllowed","Pass",IF('Income Statement'!P108="PassBecauseNoConstraints","Pass","Fail")))</f>
      </c>
      <c r="G163" s="311"/>
      <c r="H163" s="22"/>
    </row>
    <row r="164" spans="1:8" ht="7.5" customHeight="1">
      <c r="A164" s="22"/>
      <c r="B164" s="25"/>
      <c r="C164" s="321"/>
      <c r="D164" s="25"/>
      <c r="E164" s="311"/>
      <c r="F164" s="145"/>
      <c r="G164" s="311"/>
      <c r="H164" s="22"/>
    </row>
    <row r="165" spans="1:8" ht="15" hidden="1">
      <c r="A165" s="22"/>
      <c r="B165" s="25"/>
      <c r="C165" s="321"/>
      <c r="D165" s="25"/>
      <c r="E165" s="311"/>
      <c r="F165" s="145"/>
      <c r="G165" s="311"/>
      <c r="H165" s="22"/>
    </row>
    <row r="166" spans="1:8" ht="15">
      <c r="A166" s="22"/>
      <c r="B166" s="25"/>
      <c r="C166" s="315">
        <f>HYPERLINK("#'Income Statement'!C109","IT Dept. Wage")</f>
      </c>
      <c r="D166" s="25"/>
      <c r="E166" s="311"/>
      <c r="F166" s="322">
        <f>IF('Income Statement'!P109="Pass","Pass",IF('Income Statement'!P109="PassBecauseBlankAllowed","Pass",IF('Income Statement'!P109="PassBecauseNoConstraints","Pass","Fail")))</f>
      </c>
      <c r="G166" s="311"/>
      <c r="H166" s="22"/>
    </row>
    <row r="167" spans="1:8" ht="7.5" customHeight="1">
      <c r="A167" s="22"/>
      <c r="B167" s="25"/>
      <c r="C167" s="321"/>
      <c r="D167" s="25"/>
      <c r="E167" s="311"/>
      <c r="F167" s="145"/>
      <c r="G167" s="311"/>
      <c r="H167" s="22"/>
    </row>
    <row r="168" spans="1:8" ht="15" hidden="1">
      <c r="A168" s="22"/>
      <c r="B168" s="25"/>
      <c r="C168" s="321"/>
      <c r="D168" s="25"/>
      <c r="E168" s="311"/>
      <c r="F168" s="145"/>
      <c r="G168" s="311"/>
      <c r="H168" s="22"/>
    </row>
    <row r="169" spans="1:8" ht="15">
      <c r="A169" s="22"/>
      <c r="B169" s="25"/>
      <c r="C169" s="315">
        <f>HYPERLINK("#'Income Statement'!C110","Customer Training and Technical Support Wage")</f>
      </c>
      <c r="D169" s="25"/>
      <c r="E169" s="311"/>
      <c r="F169" s="322">
        <f>IF('Income Statement'!P110="Pass","Pass",IF('Income Statement'!P110="PassBecauseBlankAllowed","Pass",IF('Income Statement'!P110="PassBecauseNoConstraints","Pass","Fail")))</f>
      </c>
      <c r="G169" s="311"/>
      <c r="H169" s="22"/>
    </row>
    <row r="170" spans="1:8" ht="7.5" customHeight="1">
      <c r="A170" s="22"/>
      <c r="B170" s="25"/>
      <c r="C170" s="321"/>
      <c r="D170" s="25"/>
      <c r="E170" s="311"/>
      <c r="F170" s="145"/>
      <c r="G170" s="311"/>
      <c r="H170" s="22"/>
    </row>
    <row r="171" spans="1:8" ht="15" hidden="1">
      <c r="A171" s="22"/>
      <c r="B171" s="25"/>
      <c r="C171" s="321"/>
      <c r="D171" s="25"/>
      <c r="E171" s="311"/>
      <c r="F171" s="145"/>
      <c r="G171" s="311"/>
      <c r="H171" s="22"/>
    </row>
    <row r="172" spans="1:8" ht="15">
      <c r="A172" s="22"/>
      <c r="B172" s="25"/>
      <c r="C172" s="315">
        <f>HYPERLINK("#'Income Statement'!C111","All Other Wage")</f>
      </c>
      <c r="D172" s="25"/>
      <c r="E172" s="311"/>
      <c r="F172" s="322">
        <f>IF('Income Statement'!P111="Pass","Pass",IF('Income Statement'!P111="PassBecauseBlankAllowed","Pass",IF('Income Statement'!P111="PassBecauseNoConstraints","Pass","Fail")))</f>
      </c>
      <c r="G172" s="311"/>
      <c r="H172" s="22"/>
    </row>
    <row r="173" spans="1:8" ht="7.5" customHeight="1">
      <c r="A173" s="22"/>
      <c r="B173" s="25"/>
      <c r="C173" s="321"/>
      <c r="D173" s="25"/>
      <c r="E173" s="311"/>
      <c r="F173" s="145"/>
      <c r="G173" s="311"/>
      <c r="H173" s="22"/>
    </row>
    <row r="174" spans="1:8" ht="15" hidden="1">
      <c r="A174" s="22"/>
      <c r="B174" s="25"/>
      <c r="C174" s="321"/>
      <c r="D174" s="25"/>
      <c r="E174" s="311"/>
      <c r="F174" s="145"/>
      <c r="G174" s="311"/>
      <c r="H174" s="22"/>
    </row>
    <row r="175" spans="1:8" ht="15">
      <c r="A175" s="22"/>
      <c r="B175" s="25"/>
      <c r="C175" s="315">
        <f>HYPERLINK("#'Income Statement'!C114","Total Wages")</f>
      </c>
      <c r="D175" s="25"/>
      <c r="E175" s="311"/>
      <c r="F175" s="322">
        <f>IF('Income Statement'!P114="Pass","Pass",IF('Income Statement'!P114="PassBecauseBlankAllowed","Pass",IF('Income Statement'!P114="PassBecauseNoConstraints","Pass","Fail")))</f>
      </c>
      <c r="G175" s="311"/>
      <c r="H175" s="22"/>
    </row>
    <row r="176" spans="1:8" ht="7.5" customHeight="1">
      <c r="A176" s="22"/>
      <c r="B176" s="25"/>
      <c r="C176" s="321"/>
      <c r="D176" s="25"/>
      <c r="E176" s="311"/>
      <c r="F176" s="145"/>
      <c r="G176" s="311"/>
      <c r="H176" s="22"/>
    </row>
    <row r="177" spans="1:8" ht="15" hidden="1">
      <c r="A177" s="22"/>
      <c r="B177" s="25"/>
      <c r="C177" s="321"/>
      <c r="D177" s="25"/>
      <c r="E177" s="311"/>
      <c r="F177" s="145"/>
      <c r="G177" s="311"/>
      <c r="H177" s="22"/>
    </row>
    <row r="178" spans="1:8" ht="15">
      <c r="A178" s="22"/>
      <c r="B178" s="25"/>
      <c r="C178" s="315">
        <f>HYPERLINK("#'Income Statement'!C122","Payroll Taxes (FICA, worker's comp and unemployment)")</f>
      </c>
      <c r="D178" s="25"/>
      <c r="E178" s="311"/>
      <c r="F178" s="322">
        <f>IF('Income Statement'!P122="Pass","Pass",IF('Income Statement'!P122="PassBecauseBlankAllowed","Pass",IF('Income Statement'!P122="PassBecauseNoConstraints","Pass","Fail")))</f>
      </c>
      <c r="G178" s="311"/>
      <c r="H178" s="22"/>
    </row>
    <row r="179" spans="1:8" ht="7.5" customHeight="1">
      <c r="A179" s="22"/>
      <c r="B179" s="25"/>
      <c r="C179" s="321"/>
      <c r="D179" s="25"/>
      <c r="E179" s="311"/>
      <c r="F179" s="145"/>
      <c r="G179" s="311"/>
      <c r="H179" s="22"/>
    </row>
    <row r="180" spans="1:8" ht="15" hidden="1">
      <c r="A180" s="22"/>
      <c r="B180" s="25"/>
      <c r="C180" s="321"/>
      <c r="D180" s="25"/>
      <c r="E180" s="311"/>
      <c r="F180" s="145"/>
      <c r="G180" s="311"/>
      <c r="H180" s="22"/>
    </row>
    <row r="181" spans="1:8" ht="15">
      <c r="A181" s="22"/>
      <c r="B181" s="25"/>
      <c r="C181" s="315">
        <f>HYPERLINK("#'Income Statement'!C123","Group Insurance (medical, hospitalization, etc.)")</f>
      </c>
      <c r="D181" s="25"/>
      <c r="E181" s="311"/>
      <c r="F181" s="322">
        <f>IF('Income Statement'!P123="Pass","Pass",IF('Income Statement'!P123="PassBecauseBlankAllowed","Pass",IF('Income Statement'!P123="PassBecauseNoConstraints","Pass","Fail")))</f>
      </c>
      <c r="G181" s="311"/>
      <c r="H181" s="22"/>
    </row>
    <row r="182" spans="1:8" ht="7.5" customHeight="1">
      <c r="A182" s="22"/>
      <c r="B182" s="25"/>
      <c r="C182" s="321"/>
      <c r="D182" s="25"/>
      <c r="E182" s="311"/>
      <c r="F182" s="145"/>
      <c r="G182" s="311"/>
      <c r="H182" s="22"/>
    </row>
    <row r="183" spans="1:8" ht="15" hidden="1">
      <c r="A183" s="22"/>
      <c r="B183" s="25"/>
      <c r="C183" s="321"/>
      <c r="D183" s="25"/>
      <c r="E183" s="311"/>
      <c r="F183" s="145"/>
      <c r="G183" s="311"/>
      <c r="H183" s="22"/>
    </row>
    <row r="184" spans="1:8" ht="15">
      <c r="A184" s="22"/>
      <c r="B184" s="25"/>
      <c r="C184" s="315">
        <f>HYPERLINK("#'Income Statement'!C124","Other Personnel Expense (fringes, pensions, profit sharing, employee engagement expense, recruiting and hiring, etc.)")</f>
      </c>
      <c r="D184" s="25"/>
      <c r="E184" s="311"/>
      <c r="F184" s="322">
        <f>IF('Income Statement'!P124="Pass","Pass",IF('Income Statement'!P124="PassBecauseBlankAllowed","Pass",IF('Income Statement'!P124="PassBecauseNoConstraints","Pass","Fail")))</f>
      </c>
      <c r="G184" s="311"/>
      <c r="H184" s="22"/>
    </row>
    <row r="185" spans="1:8" ht="7.5" customHeight="1">
      <c r="A185" s="22"/>
      <c r="B185" s="25"/>
      <c r="C185" s="321"/>
      <c r="D185" s="25"/>
      <c r="E185" s="311"/>
      <c r="F185" s="145"/>
      <c r="G185" s="311"/>
      <c r="H185" s="22"/>
    </row>
    <row r="186" spans="1:8" ht="15" hidden="1">
      <c r="A186" s="22"/>
      <c r="B186" s="25"/>
      <c r="C186" s="321"/>
      <c r="D186" s="25"/>
      <c r="E186" s="311"/>
      <c r="F186" s="145"/>
      <c r="G186" s="311"/>
      <c r="H186" s="22"/>
    </row>
    <row r="187" spans="1:8" ht="15">
      <c r="A187" s="22"/>
      <c r="B187" s="25"/>
      <c r="C187" s="315">
        <f>HYPERLINK("#'Income Statement'!C125","Owners' and Officers' Discretionary Bonuses")</f>
      </c>
      <c r="D187" s="25"/>
      <c r="E187" s="311"/>
      <c r="F187" s="322">
        <f>IF('Income Statement'!P125="Pass","Pass",IF('Income Statement'!P125="PassBecauseBlankAllowed","Pass",IF('Income Statement'!P125="PassBecauseNoConstraints","Pass","Fail")))</f>
      </c>
      <c r="G187" s="311"/>
      <c r="H187" s="22"/>
    </row>
    <row r="188" spans="1:8" ht="7.5" customHeight="1">
      <c r="A188" s="22"/>
      <c r="B188" s="25"/>
      <c r="C188" s="321"/>
      <c r="D188" s="25"/>
      <c r="E188" s="311"/>
      <c r="F188" s="145"/>
      <c r="G188" s="311"/>
      <c r="H188" s="22"/>
    </row>
    <row r="189" spans="1:8" ht="15" hidden="1">
      <c r="A189" s="22"/>
      <c r="B189" s="25"/>
      <c r="C189" s="321"/>
      <c r="D189" s="25"/>
      <c r="E189" s="311"/>
      <c r="F189" s="145"/>
      <c r="G189" s="311"/>
      <c r="H189" s="22"/>
    </row>
    <row r="190" spans="1:8" ht="15">
      <c r="A190" s="22"/>
      <c r="B190" s="25"/>
      <c r="C190" s="315">
        <f>HYPERLINK("#'Income Statement'!C126","Other Employees' Discretionary Bonuses")</f>
      </c>
      <c r="D190" s="25"/>
      <c r="E190" s="311"/>
      <c r="F190" s="322">
        <f>IF('Income Statement'!P126="Pass","Pass",IF('Income Statement'!P126="PassBecauseBlankAllowed","Pass",IF('Income Statement'!P126="PassBecauseNoConstraints","Pass","Fail")))</f>
      </c>
      <c r="G190" s="311"/>
      <c r="H190" s="22"/>
    </row>
    <row r="191" spans="1:8" ht="7.5" customHeight="1">
      <c r="A191" s="22"/>
      <c r="B191" s="25"/>
      <c r="C191" s="321"/>
      <c r="D191" s="25"/>
      <c r="E191" s="311"/>
      <c r="F191" s="145"/>
      <c r="G191" s="311"/>
      <c r="H191" s="22"/>
    </row>
    <row r="192" spans="1:8" ht="15" hidden="1">
      <c r="A192" s="22"/>
      <c r="B192" s="25"/>
      <c r="C192" s="321"/>
      <c r="D192" s="25"/>
      <c r="E192" s="311"/>
      <c r="F192" s="145"/>
      <c r="G192" s="311"/>
      <c r="H192" s="22"/>
    </row>
    <row r="193" spans="1:8" ht="15">
      <c r="A193" s="22"/>
      <c r="B193" s="25"/>
      <c r="C193" s="315">
        <f>HYPERLINK("#'Income Statement'!C129","Total Other Personnel Expense")</f>
      </c>
      <c r="D193" s="25"/>
      <c r="E193" s="311"/>
      <c r="F193" s="322">
        <f>IF('Income Statement'!P129="Pass","Pass",IF('Income Statement'!P129="PassBecauseBlankAllowed","Pass",IF('Income Statement'!P129="PassBecauseNoConstraints","Pass","Fail")))</f>
      </c>
      <c r="G193" s="311"/>
      <c r="H193" s="22"/>
    </row>
    <row r="194" spans="1:8" ht="7.5" customHeight="1">
      <c r="A194" s="22"/>
      <c r="B194" s="25"/>
      <c r="C194" s="321"/>
      <c r="D194" s="25"/>
      <c r="E194" s="311"/>
      <c r="F194" s="145"/>
      <c r="G194" s="311"/>
      <c r="H194" s="22"/>
    </row>
    <row r="195" spans="1:8" ht="15" hidden="1">
      <c r="A195" s="22"/>
      <c r="B195" s="25"/>
      <c r="C195" s="321"/>
      <c r="D195" s="25"/>
      <c r="E195" s="311"/>
      <c r="F195" s="145"/>
      <c r="G195" s="311"/>
      <c r="H195" s="22"/>
    </row>
    <row r="196" spans="1:8" ht="15">
      <c r="A196" s="22"/>
      <c r="B196" s="25"/>
      <c r="C196" s="315">
        <f>HYPERLINK("#'Income Statement'!C146","Utilities (electricity, gas, oil, water, sewer, security)")</f>
      </c>
      <c r="D196" s="25"/>
      <c r="E196" s="311"/>
      <c r="F196" s="322">
        <f>IF('Income Statement'!P146="Pass","Pass",IF('Income Statement'!P146="PassBecauseBlankAllowed","Pass",IF('Income Statement'!P146="PassBecauseNoConstraints","Pass","Fail")))</f>
      </c>
      <c r="G196" s="311"/>
      <c r="H196" s="22"/>
    </row>
    <row r="197" spans="1:8" ht="7.5" customHeight="1">
      <c r="A197" s="22"/>
      <c r="B197" s="25"/>
      <c r="C197" s="321"/>
      <c r="D197" s="25"/>
      <c r="E197" s="311"/>
      <c r="F197" s="145"/>
      <c r="G197" s="311"/>
      <c r="H197" s="22"/>
    </row>
    <row r="198" spans="1:8" ht="15" hidden="1">
      <c r="A198" s="22"/>
      <c r="B198" s="25"/>
      <c r="C198" s="321"/>
      <c r="D198" s="25"/>
      <c r="E198" s="311"/>
      <c r="F198" s="145"/>
      <c r="G198" s="311"/>
      <c r="H198" s="22"/>
    </row>
    <row r="199" spans="1:8" ht="15">
      <c r="A199" s="22"/>
      <c r="B199" s="25"/>
      <c r="C199" s="315">
        <f>HYPERLINK("#'Income Statement'!C147","Telephone and Network")</f>
      </c>
      <c r="D199" s="25"/>
      <c r="E199" s="311"/>
      <c r="F199" s="322">
        <f>IF('Income Statement'!P147="Pass","Pass",IF('Income Statement'!P147="PassBecauseBlankAllowed","Pass",IF('Income Statement'!P147="PassBecauseNoConstraints","Pass","Fail")))</f>
      </c>
      <c r="G199" s="311"/>
      <c r="H199" s="22"/>
    </row>
    <row r="200" spans="1:8" ht="7.5" customHeight="1">
      <c r="A200" s="22"/>
      <c r="B200" s="25"/>
      <c r="C200" s="321"/>
      <c r="D200" s="25"/>
      <c r="E200" s="311"/>
      <c r="F200" s="145"/>
      <c r="G200" s="311"/>
      <c r="H200" s="22"/>
    </row>
    <row r="201" spans="1:8" ht="15" hidden="1">
      <c r="A201" s="22"/>
      <c r="B201" s="25"/>
      <c r="C201" s="321"/>
      <c r="D201" s="25"/>
      <c r="E201" s="311"/>
      <c r="F201" s="145"/>
      <c r="G201" s="311"/>
      <c r="H201" s="22"/>
    </row>
    <row r="202" spans="1:8" ht="15">
      <c r="A202" s="22"/>
      <c r="B202" s="25"/>
      <c r="C202" s="315">
        <f>HYPERLINK("#'Income Statement'!C148","Building Repairs and Maintenance")</f>
      </c>
      <c r="D202" s="25"/>
      <c r="E202" s="311"/>
      <c r="F202" s="322">
        <f>IF('Income Statement'!P148="Pass","Pass",IF('Income Statement'!P148="PassBecauseBlankAllowed","Pass",IF('Income Statement'!P148="PassBecauseNoConstraints","Pass","Fail")))</f>
      </c>
      <c r="G202" s="311"/>
      <c r="H202" s="22"/>
    </row>
    <row r="203" spans="1:8" ht="7.5" customHeight="1">
      <c r="A203" s="22"/>
      <c r="B203" s="25"/>
      <c r="C203" s="321"/>
      <c r="D203" s="25"/>
      <c r="E203" s="311"/>
      <c r="F203" s="145"/>
      <c r="G203" s="311"/>
      <c r="H203" s="22"/>
    </row>
    <row r="204" spans="1:8" ht="15" hidden="1">
      <c r="A204" s="22"/>
      <c r="B204" s="25"/>
      <c r="C204" s="321"/>
      <c r="D204" s="25"/>
      <c r="E204" s="311"/>
      <c r="F204" s="145"/>
      <c r="G204" s="311"/>
      <c r="H204" s="22"/>
    </row>
    <row r="205" spans="1:8" ht="15">
      <c r="A205" s="22"/>
      <c r="B205" s="25"/>
      <c r="C205" s="315">
        <f>HYPERLINK("#'Income Statement'!C149","Real Estate Rent/Ownership (including rent/lease, mortgage interest, depreciation, leasehold amortization, insurance, property taxes)")</f>
      </c>
      <c r="D205" s="25"/>
      <c r="E205" s="311"/>
      <c r="F205" s="322">
        <f>IF('Income Statement'!P149="Pass","Pass",IF('Income Statement'!P149="PassBecauseBlankAllowed","Pass",IF('Income Statement'!P149="PassBecauseNoConstraints","Pass","Fail")))</f>
      </c>
      <c r="G205" s="311"/>
      <c r="H205" s="22"/>
    </row>
    <row r="206" spans="1:8" ht="7.5" customHeight="1">
      <c r="A206" s="22"/>
      <c r="B206" s="25"/>
      <c r="C206" s="321"/>
      <c r="D206" s="25"/>
      <c r="E206" s="311"/>
      <c r="F206" s="145"/>
      <c r="G206" s="311"/>
      <c r="H206" s="22"/>
    </row>
    <row r="207" spans="1:8" ht="15" hidden="1">
      <c r="A207" s="22"/>
      <c r="B207" s="25"/>
      <c r="C207" s="321"/>
      <c r="D207" s="25"/>
      <c r="E207" s="311"/>
      <c r="F207" s="145"/>
      <c r="G207" s="311"/>
      <c r="H207" s="22"/>
    </row>
    <row r="208" spans="1:8" ht="15">
      <c r="A208" s="22"/>
      <c r="B208" s="25"/>
      <c r="C208" s="315">
        <f>HYPERLINK("#'Income Statement'!C152","Total Occupancy Expense")</f>
      </c>
      <c r="D208" s="25"/>
      <c r="E208" s="311"/>
      <c r="F208" s="322">
        <f>IF('Income Statement'!P152="Pass","Pass",IF('Income Statement'!P152="PassBecauseBlankAllowed","Pass",IF('Income Statement'!P152="PassBecauseNoConstraints","Pass","Fail")))</f>
      </c>
      <c r="G208" s="311"/>
      <c r="H208" s="22"/>
    </row>
    <row r="209" spans="1:8" ht="7.5" customHeight="1">
      <c r="A209" s="22"/>
      <c r="B209" s="25"/>
      <c r="C209" s="321"/>
      <c r="D209" s="25"/>
      <c r="E209" s="311"/>
      <c r="F209" s="145"/>
      <c r="G209" s="311"/>
      <c r="H209" s="22"/>
    </row>
    <row r="210" spans="1:8" ht="15" hidden="1">
      <c r="A210" s="22"/>
      <c r="B210" s="25"/>
      <c r="C210" s="321"/>
      <c r="D210" s="25"/>
      <c r="E210" s="311"/>
      <c r="F210" s="145"/>
      <c r="G210" s="311"/>
      <c r="H210" s="22"/>
    </row>
    <row r="211" spans="1:8" ht="15">
      <c r="A211" s="22"/>
      <c r="B211" s="25"/>
      <c r="C211" s="315">
        <f>HYPERLINK("#'Income Statement'!C164","Sales Expense (including advertising, marketing, promotion, travel &amp; transportation)")</f>
      </c>
      <c r="D211" s="25"/>
      <c r="E211" s="311"/>
      <c r="F211" s="322">
        <f>IF('Income Statement'!P164="Pass","Pass",IF('Income Statement'!P164="PassBecauseBlankAllowed","Pass",IF('Income Statement'!P164="PassBecauseNoConstraints","Pass","Fail")))</f>
      </c>
      <c r="G211" s="311"/>
      <c r="H211" s="22"/>
    </row>
    <row r="212" spans="1:8" ht="7.5" customHeight="1">
      <c r="A212" s="22"/>
      <c r="B212" s="25"/>
      <c r="C212" s="321"/>
      <c r="D212" s="25"/>
      <c r="E212" s="311"/>
      <c r="F212" s="145"/>
      <c r="G212" s="311"/>
      <c r="H212" s="22"/>
    </row>
    <row r="213" spans="1:8" ht="15" hidden="1">
      <c r="A213" s="22"/>
      <c r="B213" s="25"/>
      <c r="C213" s="321"/>
      <c r="D213" s="25"/>
      <c r="E213" s="311"/>
      <c r="F213" s="145"/>
      <c r="G213" s="311"/>
      <c r="H213" s="22"/>
    </row>
    <row r="214" spans="1:8" ht="15">
      <c r="A214" s="22"/>
      <c r="B214" s="25"/>
      <c r="C214" s="315">
        <f>HYPERLINK("#'Income Statement'!C165","Collections (debt collection, bank charges, credit card fees)")</f>
      </c>
      <c r="D214" s="25"/>
      <c r="E214" s="311"/>
      <c r="F214" s="322">
        <f>IF('Income Statement'!P165="Pass","Pass",IF('Income Statement'!P165="PassBecauseBlankAllowed","Pass",IF('Income Statement'!P165="PassBecauseNoConstraints","Pass","Fail")))</f>
      </c>
      <c r="G214" s="311"/>
      <c r="H214" s="22"/>
    </row>
    <row r="215" spans="1:8" ht="7.5" customHeight="1">
      <c r="A215" s="22"/>
      <c r="B215" s="25"/>
      <c r="C215" s="321"/>
      <c r="D215" s="25"/>
      <c r="E215" s="311"/>
      <c r="F215" s="145"/>
      <c r="G215" s="311"/>
      <c r="H215" s="22"/>
    </row>
    <row r="216" spans="1:8" ht="15" hidden="1">
      <c r="A216" s="22"/>
      <c r="B216" s="25"/>
      <c r="C216" s="321"/>
      <c r="D216" s="25"/>
      <c r="E216" s="311"/>
      <c r="F216" s="145"/>
      <c r="G216" s="311"/>
      <c r="H216" s="22"/>
    </row>
    <row r="217" spans="1:8" ht="15">
      <c r="A217" s="22"/>
      <c r="B217" s="25"/>
      <c r="C217" s="315">
        <f>HYPERLINK("#'Income Statement'!C166","Bad Debt Expense")</f>
      </c>
      <c r="D217" s="25"/>
      <c r="E217" s="311"/>
      <c r="F217" s="322">
        <f>IF('Income Statement'!P166="Pass","Pass",IF('Income Statement'!P166="PassBecauseBlankAllowed","Pass",IF('Income Statement'!P166="PassBecauseNoConstraints","Pass","Fail")))</f>
      </c>
      <c r="G217" s="311"/>
      <c r="H217" s="22"/>
    </row>
    <row r="218" spans="1:8" ht="7.5" customHeight="1">
      <c r="A218" s="22"/>
      <c r="B218" s="25"/>
      <c r="C218" s="321"/>
      <c r="D218" s="25"/>
      <c r="E218" s="311"/>
      <c r="F218" s="145"/>
      <c r="G218" s="311"/>
      <c r="H218" s="22"/>
    </row>
    <row r="219" spans="1:8" ht="15" hidden="1">
      <c r="A219" s="22"/>
      <c r="B219" s="25"/>
      <c r="C219" s="321"/>
      <c r="D219" s="25"/>
      <c r="E219" s="311"/>
      <c r="F219" s="145"/>
      <c r="G219" s="311"/>
      <c r="H219" s="22"/>
    </row>
    <row r="220" spans="1:8" ht="15">
      <c r="A220" s="22"/>
      <c r="B220" s="25"/>
      <c r="C220" s="315">
        <f>HYPERLINK("#'Income Statement'!C167","Non-Sales Vehicle Expense (including fuel, repairs &amp; maintenance, depreciation, insurance, interest, leasing)")</f>
      </c>
      <c r="D220" s="25"/>
      <c r="E220" s="311"/>
      <c r="F220" s="322">
        <f>IF('Income Statement'!P167="Pass","Pass",IF('Income Statement'!P167="PassBecauseBlankAllowed","Pass",IF('Income Statement'!P167="PassBecauseNoConstraints","Pass","Fail")))</f>
      </c>
      <c r="G220" s="311"/>
      <c r="H220" s="22"/>
    </row>
    <row r="221" spans="1:8" ht="7.5" customHeight="1">
      <c r="A221" s="22"/>
      <c r="B221" s="25"/>
      <c r="C221" s="321"/>
      <c r="D221" s="25"/>
      <c r="E221" s="311"/>
      <c r="F221" s="145"/>
      <c r="G221" s="311"/>
      <c r="H221" s="22"/>
    </row>
    <row r="222" spans="1:8" ht="15" hidden="1">
      <c r="A222" s="22"/>
      <c r="B222" s="25"/>
      <c r="C222" s="321"/>
      <c r="D222" s="25"/>
      <c r="E222" s="311"/>
      <c r="F222" s="145"/>
      <c r="G222" s="311"/>
      <c r="H222" s="22"/>
    </row>
    <row r="223" spans="1:8" ht="15">
      <c r="A223" s="22"/>
      <c r="B223" s="25"/>
      <c r="C223" s="315">
        <f>HYPERLINK("#'Income Statement'!C168","Depreciation and Amortization (excluding building, leasehold amortization, and vehicle)")</f>
      </c>
      <c r="D223" s="25"/>
      <c r="E223" s="311"/>
      <c r="F223" s="322">
        <f>IF('Income Statement'!P168="Pass","Pass",IF('Income Statement'!P168="PassBecauseBlankAllowed","Pass",IF('Income Statement'!P168="PassBecauseNoConstraints","Pass","Fail")))</f>
      </c>
      <c r="G223" s="311"/>
      <c r="H223" s="22"/>
    </row>
    <row r="224" spans="1:8" ht="7.5" customHeight="1">
      <c r="A224" s="22"/>
      <c r="B224" s="25"/>
      <c r="C224" s="321"/>
      <c r="D224" s="25"/>
      <c r="E224" s="311"/>
      <c r="F224" s="145"/>
      <c r="G224" s="311"/>
      <c r="H224" s="22"/>
    </row>
    <row r="225" spans="1:8" ht="15" hidden="1">
      <c r="A225" s="22"/>
      <c r="B225" s="25"/>
      <c r="C225" s="321"/>
      <c r="D225" s="25"/>
      <c r="E225" s="311"/>
      <c r="F225" s="145"/>
      <c r="G225" s="311"/>
      <c r="H225" s="22"/>
    </row>
    <row r="226" spans="1:8" ht="15">
      <c r="A226" s="22"/>
      <c r="B226" s="25"/>
      <c r="C226" s="315">
        <f>HYPERLINK("#'Income Statement'!C169","Data Processing and Technology")</f>
      </c>
      <c r="D226" s="25"/>
      <c r="E226" s="311"/>
      <c r="F226" s="322">
        <f>IF('Income Statement'!P169="Pass","Pass",IF('Income Statement'!P169="PassBecauseBlankAllowed","Pass",IF('Income Statement'!P169="PassBecauseNoConstraints","Pass","Fail")))</f>
      </c>
      <c r="G226" s="311"/>
      <c r="H226" s="22"/>
    </row>
    <row r="227" spans="1:8" ht="7.5" customHeight="1">
      <c r="A227" s="22"/>
      <c r="B227" s="25"/>
      <c r="C227" s="321"/>
      <c r="D227" s="25"/>
      <c r="E227" s="311"/>
      <c r="F227" s="145"/>
      <c r="G227" s="311"/>
      <c r="H227" s="22"/>
    </row>
    <row r="228" spans="1:8" ht="15" hidden="1">
      <c r="A228" s="22"/>
      <c r="B228" s="25"/>
      <c r="C228" s="321"/>
      <c r="D228" s="25"/>
      <c r="E228" s="311"/>
      <c r="F228" s="145"/>
      <c r="G228" s="311"/>
      <c r="H228" s="22"/>
    </row>
    <row r="229" spans="1:8" ht="15">
      <c r="A229" s="22"/>
      <c r="B229" s="25"/>
      <c r="C229" s="315">
        <f>HYPERLINK("#'Income Statement'!C170","Employee Training (in-person and distance-learning programs)")</f>
      </c>
      <c r="D229" s="25"/>
      <c r="E229" s="311"/>
      <c r="F229" s="322">
        <f>IF('Income Statement'!P170="Pass","Pass",IF('Income Statement'!P170="PassBecauseBlankAllowed","Pass",IF('Income Statement'!P170="PassBecauseNoConstraints","Pass","Fail")))</f>
      </c>
      <c r="G229" s="311"/>
      <c r="H229" s="22"/>
    </row>
    <row r="230" spans="1:8" ht="7.5" customHeight="1">
      <c r="A230" s="22"/>
      <c r="B230" s="25"/>
      <c r="C230" s="321"/>
      <c r="D230" s="25"/>
      <c r="E230" s="311"/>
      <c r="F230" s="145"/>
      <c r="G230" s="311"/>
      <c r="H230" s="22"/>
    </row>
    <row r="231" spans="1:8" ht="15" hidden="1">
      <c r="A231" s="22"/>
      <c r="B231" s="25"/>
      <c r="C231" s="321"/>
      <c r="D231" s="25"/>
      <c r="E231" s="311"/>
      <c r="F231" s="145"/>
      <c r="G231" s="311"/>
      <c r="H231" s="22"/>
    </row>
    <row r="232" spans="1:8" ht="15">
      <c r="A232" s="22"/>
      <c r="B232" s="25"/>
      <c r="C232" s="315">
        <f>HYPERLINK("#'Income Statement'!C171","Insurance (business owners', liability, fire, flood; excluding building and vehicle insurance)")</f>
      </c>
      <c r="D232" s="25"/>
      <c r="E232" s="311"/>
      <c r="F232" s="322">
        <f>IF('Income Statement'!P171="Pass","Pass",IF('Income Statement'!P171="PassBecauseBlankAllowed","Pass",IF('Income Statement'!P171="PassBecauseNoConstraints","Pass","Fail")))</f>
      </c>
      <c r="G232" s="311"/>
      <c r="H232" s="22"/>
    </row>
    <row r="233" spans="1:8" ht="7.5" customHeight="1">
      <c r="A233" s="22"/>
      <c r="B233" s="25"/>
      <c r="C233" s="321"/>
      <c r="D233" s="25"/>
      <c r="E233" s="311"/>
      <c r="F233" s="145"/>
      <c r="G233" s="311"/>
      <c r="H233" s="22"/>
    </row>
    <row r="234" spans="1:8" ht="15" hidden="1">
      <c r="A234" s="22"/>
      <c r="B234" s="25"/>
      <c r="C234" s="321"/>
      <c r="D234" s="25"/>
      <c r="E234" s="311"/>
      <c r="F234" s="145"/>
      <c r="G234" s="311"/>
      <c r="H234" s="22"/>
    </row>
    <row r="235" spans="1:8" ht="15">
      <c r="A235" s="22"/>
      <c r="B235" s="25"/>
      <c r="C235" s="315">
        <f>HYPERLINK("#'Income Statement'!C172","Personal Property Taxes and Licenses (excluding building property tax)")</f>
      </c>
      <c r="D235" s="25"/>
      <c r="E235" s="311"/>
      <c r="F235" s="322">
        <f>IF('Income Statement'!P172="Pass","Pass",IF('Income Statement'!P172="PassBecauseBlankAllowed","Pass",IF('Income Statement'!P172="PassBecauseNoConstraints","Pass","Fail")))</f>
      </c>
      <c r="G235" s="311"/>
      <c r="H235" s="22"/>
    </row>
    <row r="236" spans="1:8" ht="7.5" customHeight="1">
      <c r="A236" s="22"/>
      <c r="B236" s="25"/>
      <c r="C236" s="321"/>
      <c r="D236" s="25"/>
      <c r="E236" s="311"/>
      <c r="F236" s="145"/>
      <c r="G236" s="311"/>
      <c r="H236" s="22"/>
    </row>
    <row r="237" spans="1:8" ht="15" hidden="1">
      <c r="A237" s="22"/>
      <c r="B237" s="25"/>
      <c r="C237" s="321"/>
      <c r="D237" s="25"/>
      <c r="E237" s="311"/>
      <c r="F237" s="145"/>
      <c r="G237" s="311"/>
      <c r="H237" s="22"/>
    </row>
    <row r="238" spans="1:8" ht="15">
      <c r="A238" s="22"/>
      <c r="B238" s="25"/>
      <c r="C238" s="315">
        <f>HYPERLINK("#'Income Statement'!C173","Other Operations Expenses")</f>
      </c>
      <c r="D238" s="25"/>
      <c r="E238" s="311"/>
      <c r="F238" s="322">
        <f>IF('Income Statement'!P173="Pass","Pass",IF('Income Statement'!P173="PassBecauseBlankAllowed","Pass",IF('Income Statement'!P173="PassBecauseNoConstraints","Pass","Fail")))</f>
      </c>
      <c r="G238" s="311"/>
      <c r="H238" s="22"/>
    </row>
    <row r="239" spans="1:8" ht="7.5" customHeight="1">
      <c r="A239" s="22"/>
      <c r="B239" s="25"/>
      <c r="C239" s="321"/>
      <c r="D239" s="25"/>
      <c r="E239" s="311"/>
      <c r="F239" s="145"/>
      <c r="G239" s="311"/>
      <c r="H239" s="22"/>
    </row>
    <row r="240" spans="1:8" ht="15" hidden="1">
      <c r="A240" s="22"/>
      <c r="B240" s="25"/>
      <c r="C240" s="321"/>
      <c r="D240" s="25"/>
      <c r="E240" s="311"/>
      <c r="F240" s="145"/>
      <c r="G240" s="311"/>
      <c r="H240" s="22"/>
    </row>
    <row r="241" spans="1:8" ht="15">
      <c r="A241" s="22"/>
      <c r="B241" s="25"/>
      <c r="C241" s="315">
        <f>HYPERLINK("#'Income Statement'!C178","Total Operations Expense")</f>
      </c>
      <c r="D241" s="25"/>
      <c r="E241" s="311"/>
      <c r="F241" s="322">
        <f>IF('Income Statement'!P178="Pass","Pass",IF('Income Statement'!P178="PassBecauseBlankAllowed","Pass",IF('Income Statement'!P178="PassBecauseNoConstraints","Pass","Fail")))</f>
      </c>
      <c r="G241" s="311"/>
      <c r="H241" s="22"/>
    </row>
    <row r="242" spans="1:8" ht="7.5" customHeight="1">
      <c r="A242" s="22"/>
      <c r="B242" s="25"/>
      <c r="C242" s="321"/>
      <c r="D242" s="25"/>
      <c r="E242" s="311"/>
      <c r="F242" s="145"/>
      <c r="G242" s="311"/>
      <c r="H242" s="22"/>
    </row>
    <row r="243" spans="1:8" ht="15" hidden="1">
      <c r="A243" s="22"/>
      <c r="B243" s="25"/>
      <c r="C243" s="321"/>
      <c r="D243" s="25"/>
      <c r="E243" s="311"/>
      <c r="F243" s="145"/>
      <c r="G243" s="311"/>
      <c r="H243" s="22"/>
    </row>
    <row r="244" spans="1:8" ht="15">
      <c r="A244" s="22"/>
      <c r="B244" s="25"/>
      <c r="C244" s="315">
        <f>HYPERLINK("#'Income Statement'!C203","Other Income (interest income, gain on sale of assets, etc.)")</f>
      </c>
      <c r="D244" s="25"/>
      <c r="E244" s="311"/>
      <c r="F244" s="322">
        <f>IF('Income Statement'!P203="Pass","Pass",IF('Income Statement'!P203="PassBecauseBlankAllowed","Pass",IF('Income Statement'!P203="PassBecauseNoConstraints","Pass","Fail")))</f>
      </c>
      <c r="G244" s="311"/>
      <c r="H244" s="22"/>
    </row>
    <row r="245" spans="1:8" ht="7.5" customHeight="1">
      <c r="A245" s="22"/>
      <c r="B245" s="25"/>
      <c r="C245" s="321"/>
      <c r="D245" s="25"/>
      <c r="E245" s="311"/>
      <c r="F245" s="145"/>
      <c r="G245" s="311"/>
      <c r="H245" s="22"/>
    </row>
    <row r="246" spans="1:8" ht="15" hidden="1">
      <c r="A246" s="22"/>
      <c r="B246" s="25"/>
      <c r="C246" s="321"/>
      <c r="D246" s="25"/>
      <c r="E246" s="311"/>
      <c r="F246" s="145"/>
      <c r="G246" s="311"/>
      <c r="H246" s="22"/>
    </row>
    <row r="247" spans="1:8" ht="15">
      <c r="A247" s="22"/>
      <c r="B247" s="25"/>
      <c r="C247" s="315">
        <f>HYPERLINK("#'Income Statement'!C214","Interest Expense (excluding mortgage interest and vehicle)")</f>
      </c>
      <c r="D247" s="25"/>
      <c r="E247" s="311"/>
      <c r="F247" s="322">
        <f>IF('Income Statement'!P214="Pass","Pass",IF('Income Statement'!P214="PassBecauseBlankAllowed","Pass",IF('Income Statement'!P214="PassBecauseNoConstraints","Pass","Fail")))</f>
      </c>
      <c r="G247" s="311"/>
      <c r="H247" s="22"/>
    </row>
    <row r="248" spans="1:8" ht="7.5" customHeight="1">
      <c r="A248" s="22"/>
      <c r="B248" s="25"/>
      <c r="C248" s="321"/>
      <c r="D248" s="25"/>
      <c r="E248" s="311"/>
      <c r="F248" s="145"/>
      <c r="G248" s="311"/>
      <c r="H248" s="22"/>
    </row>
    <row r="249" spans="1:8" ht="15" hidden="1">
      <c r="A249" s="22"/>
      <c r="B249" s="25"/>
      <c r="C249" s="321"/>
      <c r="D249" s="25"/>
      <c r="E249" s="311"/>
      <c r="F249" s="145"/>
      <c r="G249" s="311"/>
      <c r="H249" s="22"/>
    </row>
    <row r="250" spans="1:8" ht="15">
      <c r="A250" s="22"/>
      <c r="B250" s="25"/>
      <c r="C250" s="315">
        <f>HYPERLINK("#'Income Statement'!C215","Other Non-Operating Expense")</f>
      </c>
      <c r="D250" s="25"/>
      <c r="E250" s="311"/>
      <c r="F250" s="322">
        <f>IF('Income Statement'!P215="Pass","Pass",IF('Income Statement'!P215="PassBecauseBlankAllowed","Pass",IF('Income Statement'!P215="PassBecauseNoConstraints","Pass","Fail")))</f>
      </c>
      <c r="G250" s="311"/>
      <c r="H250" s="22"/>
    </row>
    <row r="251" spans="1:8" ht="7.5" customHeight="1">
      <c r="A251" s="22"/>
      <c r="B251" s="25"/>
      <c r="C251" s="321"/>
      <c r="D251" s="25"/>
      <c r="E251" s="311"/>
      <c r="F251" s="145"/>
      <c r="G251" s="311"/>
      <c r="H251" s="22"/>
    </row>
    <row r="252" spans="1:8" ht="15" hidden="1">
      <c r="A252" s="22"/>
      <c r="B252" s="25"/>
      <c r="C252" s="321"/>
      <c r="D252" s="25"/>
      <c r="E252" s="311"/>
      <c r="F252" s="145"/>
      <c r="G252" s="311"/>
      <c r="H252" s="22"/>
    </row>
    <row r="253" spans="1:8" ht="15">
      <c r="A253" s="22"/>
      <c r="B253" s="25"/>
      <c r="C253" s="315">
        <f>HYPERLINK("#'Income Statement'!C216","Income Taxes (local, state, federal)")</f>
      </c>
      <c r="D253" s="25"/>
      <c r="E253" s="311"/>
      <c r="F253" s="322">
        <f>IF('Income Statement'!P216="Pass","Pass",IF('Income Statement'!P216="PassBecauseBlankAllowed","Pass",IF('Income Statement'!P216="PassBecauseNoConstraints","Pass","Fail")))</f>
      </c>
      <c r="G253" s="311"/>
      <c r="H253" s="22"/>
    </row>
    <row r="254" spans="1:8" ht="7.5" customHeight="1">
      <c r="A254" s="22"/>
      <c r="B254" s="25"/>
      <c r="C254" s="321"/>
      <c r="D254" s="25"/>
      <c r="E254" s="311"/>
      <c r="F254" s="145"/>
      <c r="G254" s="311"/>
      <c r="H254" s="22"/>
    </row>
    <row r="255" spans="1:8" ht="15" hidden="1">
      <c r="A255" s="22"/>
      <c r="B255" s="25"/>
      <c r="C255" s="321"/>
      <c r="D255" s="25"/>
      <c r="E255" s="311"/>
      <c r="F255" s="145"/>
      <c r="G255" s="311"/>
      <c r="H255" s="22"/>
    </row>
    <row r="256" spans="1:8" ht="15">
      <c r="A256" s="22"/>
      <c r="B256" s="25"/>
      <c r="C256" s="315">
        <f>HYPERLINK("#'Income Statement'!C237","Current (YTD) Earnings = Net Profit")</f>
      </c>
      <c r="D256" s="25"/>
      <c r="E256" s="311"/>
      <c r="F256" s="322">
        <f>IF('Income Statement'!P237="Pass","Pass",IF('Income Statement'!P237="PassBecauseBlankAllowed","Pass",IF('Income Statement'!P237="PassBecauseNoConstraints","Pass","Fail")))</f>
      </c>
      <c r="G256" s="311"/>
      <c r="H256" s="22"/>
    </row>
    <row r="257" spans="1:8" ht="7.5" customHeight="1">
      <c r="A257" s="22"/>
      <c r="B257" s="25"/>
      <c r="C257" s="321"/>
      <c r="D257" s="25"/>
      <c r="E257" s="311"/>
      <c r="F257" s="145"/>
      <c r="G257" s="311"/>
      <c r="H257" s="22"/>
    </row>
    <row r="258" spans="1:8" ht="22.5" customHeight="1">
      <c r="A258" s="22"/>
      <c r="B258" s="25"/>
      <c r="C258" s="320"/>
      <c r="D258" s="25"/>
      <c r="E258" s="311"/>
      <c r="F258" s="145"/>
      <c r="G258" s="311"/>
      <c r="H258" s="22"/>
    </row>
    <row r="259" spans="1:8" ht="15" customHeight="1">
      <c r="A259" s="22"/>
      <c r="B259" s="25"/>
      <c r="C259" s="39" t="s">
        <v>382</v>
      </c>
      <c r="D259" s="25"/>
      <c r="E259" s="311"/>
      <c r="F259" s="145"/>
      <c r="G259" s="311"/>
      <c r="H259" s="22"/>
    </row>
    <row r="260" spans="1:8" ht="7.5" customHeight="1">
      <c r="A260" s="22"/>
      <c r="B260" s="25"/>
      <c r="C260" s="320"/>
      <c r="D260" s="25"/>
      <c r="E260" s="311"/>
      <c r="F260" s="145"/>
      <c r="G260" s="311"/>
      <c r="H260" s="22"/>
    </row>
    <row r="261" spans="1:8" ht="15" hidden="1">
      <c r="A261" s="22"/>
      <c r="B261" s="25"/>
      <c r="C261" s="321"/>
      <c r="D261" s="25"/>
      <c r="E261" s="311"/>
      <c r="F261" s="145"/>
      <c r="G261" s="311"/>
      <c r="H261" s="22"/>
    </row>
    <row r="262" spans="1:8" ht="15">
      <c r="A262" s="22"/>
      <c r="B262" s="25"/>
      <c r="C262" s="315">
        <f>HYPERLINK("#'Operations'!C25","Percent of Purchases Made Through All Buying Groups")</f>
      </c>
      <c r="D262" s="25"/>
      <c r="E262" s="311"/>
      <c r="F262" s="322">
        <f>IF(Operations!P25="Pass","Pass",IF(Operations!P25="PassBecauseBlankAllowed","Pass",IF(Operations!P25="PassBecauseNoConstraints","Pass","Fail")))</f>
      </c>
      <c r="G262" s="311"/>
      <c r="H262" s="22"/>
    </row>
    <row r="263" spans="1:8" ht="7.5" customHeight="1">
      <c r="A263" s="22"/>
      <c r="B263" s="25"/>
      <c r="C263" s="321"/>
      <c r="D263" s="25"/>
      <c r="E263" s="311"/>
      <c r="F263" s="145"/>
      <c r="G263" s="311"/>
      <c r="H263" s="22"/>
    </row>
    <row r="264" spans="1:8" ht="15" hidden="1">
      <c r="A264" s="22"/>
      <c r="B264" s="25"/>
      <c r="C264" s="321"/>
      <c r="D264" s="25"/>
      <c r="E264" s="311"/>
      <c r="F264" s="145"/>
      <c r="G264" s="311"/>
      <c r="H264" s="22"/>
    </row>
    <row r="265" spans="1:8" ht="15">
      <c r="A265" s="22"/>
      <c r="B265" s="25"/>
      <c r="C265" s="315">
        <f>HYPERLINK("#'Operations'!C30","Percent of Sales Paid With Cash, Check, or COD")</f>
      </c>
      <c r="D265" s="25"/>
      <c r="E265" s="311"/>
      <c r="F265" s="322">
        <f>IF(Operations!P30="Pass","Pass",IF(Operations!P30="PassBecauseBlankAllowed","Pass",IF(Operations!P30="PassBecauseNoConstraints","Pass","Fail")))</f>
      </c>
      <c r="G265" s="311"/>
      <c r="H265" s="22"/>
    </row>
    <row r="266" spans="1:8" ht="7.5" customHeight="1">
      <c r="A266" s="22"/>
      <c r="B266" s="25"/>
      <c r="C266" s="321"/>
      <c r="D266" s="25"/>
      <c r="E266" s="311"/>
      <c r="F266" s="145"/>
      <c r="G266" s="311"/>
      <c r="H266" s="22"/>
    </row>
    <row r="267" spans="1:8" ht="15" hidden="1">
      <c r="A267" s="22"/>
      <c r="B267" s="25"/>
      <c r="C267" s="321"/>
      <c r="D267" s="25"/>
      <c r="E267" s="311"/>
      <c r="F267" s="145"/>
      <c r="G267" s="311"/>
      <c r="H267" s="22"/>
    </row>
    <row r="268" spans="1:8" ht="15">
      <c r="A268" s="22"/>
      <c r="B268" s="25"/>
      <c r="C268" s="315">
        <f>HYPERLINK("#'Operations'!C39","Percent of Sales Transacted Online")</f>
      </c>
      <c r="D268" s="25"/>
      <c r="E268" s="311"/>
      <c r="F268" s="322">
        <f>IF(Operations!P39="Pass","Pass",IF(Operations!P39="PassBecauseBlankAllowed","Pass",IF(Operations!P39="PassBecauseNoConstraints","Pass","Fail")))</f>
      </c>
      <c r="G268" s="311"/>
      <c r="H268" s="22"/>
    </row>
    <row r="269" spans="1:8" ht="7.5" customHeight="1">
      <c r="A269" s="22"/>
      <c r="B269" s="25"/>
      <c r="C269" s="321"/>
      <c r="D269" s="25"/>
      <c r="E269" s="311"/>
      <c r="F269" s="145"/>
      <c r="G269" s="311"/>
      <c r="H269" s="22"/>
    </row>
    <row r="270" spans="1:8" ht="15" hidden="1">
      <c r="A270" s="22"/>
      <c r="B270" s="25"/>
      <c r="C270" s="321"/>
      <c r="D270" s="25"/>
      <c r="E270" s="311"/>
      <c r="F270" s="145"/>
      <c r="G270" s="311"/>
      <c r="H270" s="22"/>
    </row>
    <row r="271" spans="1:8" ht="15">
      <c r="A271" s="22"/>
      <c r="B271" s="25"/>
      <c r="C271" s="315">
        <f>HYPERLINK("#'Operations'!C57","Affiliated Distributors (AD)")</f>
      </c>
      <c r="D271" s="25"/>
      <c r="E271" s="311"/>
      <c r="F271" s="322">
        <f>IF(Operations!P57="Pass","Pass",IF(Operations!P57="PassBecauseBlankAllowed","Pass",IF(Operations!P57="PassBecauseNoConstraints","Pass","Fail")))</f>
      </c>
      <c r="G271" s="311"/>
      <c r="H271" s="22"/>
    </row>
    <row r="272" spans="1:8" ht="7.5" customHeight="1">
      <c r="A272" s="22"/>
      <c r="B272" s="25"/>
      <c r="C272" s="321"/>
      <c r="D272" s="25"/>
      <c r="E272" s="311"/>
      <c r="F272" s="145"/>
      <c r="G272" s="311"/>
      <c r="H272" s="22"/>
    </row>
    <row r="273" spans="1:8" ht="15" hidden="1">
      <c r="A273" s="22"/>
      <c r="B273" s="25"/>
      <c r="C273" s="321"/>
      <c r="D273" s="25"/>
      <c r="E273" s="311"/>
      <c r="F273" s="145"/>
      <c r="G273" s="311"/>
      <c r="H273" s="22"/>
    </row>
    <row r="274" spans="1:8" ht="15">
      <c r="A274" s="22"/>
      <c r="B274" s="25"/>
      <c r="C274" s="315">
        <f>HYPERLINK("#'Operations'!C58","BLUE HAWK (BH)")</f>
      </c>
      <c r="D274" s="25"/>
      <c r="E274" s="311"/>
      <c r="F274" s="322">
        <f>IF(Operations!P58="Pass","Pass",IF(Operations!P58="PassBecauseBlankAllowed","Pass",IF(Operations!P58="PassBecauseNoConstraints","Pass","Fail")))</f>
      </c>
      <c r="G274" s="311"/>
      <c r="H274" s="22"/>
    </row>
    <row r="275" spans="1:8" ht="7.5" customHeight="1">
      <c r="A275" s="22"/>
      <c r="B275" s="25"/>
      <c r="C275" s="321"/>
      <c r="D275" s="25"/>
      <c r="E275" s="311"/>
      <c r="F275" s="145"/>
      <c r="G275" s="311"/>
      <c r="H275" s="22"/>
    </row>
    <row r="276" spans="1:8" ht="15" hidden="1">
      <c r="A276" s="22"/>
      <c r="B276" s="25"/>
      <c r="C276" s="321"/>
      <c r="D276" s="25"/>
      <c r="E276" s="311"/>
      <c r="F276" s="145"/>
      <c r="G276" s="311"/>
      <c r="H276" s="22"/>
    </row>
    <row r="277" spans="1:8" ht="15">
      <c r="A277" s="22"/>
      <c r="B277" s="25"/>
      <c r="C277" s="315">
        <f>HYPERLINK("#'Operations'!C59","Controls Group North America")</f>
      </c>
      <c r="D277" s="25"/>
      <c r="E277" s="311"/>
      <c r="F277" s="322">
        <f>IF(Operations!P59="Pass","Pass",IF(Operations!P59="PassBecauseBlankAllowed","Pass",IF(Operations!P59="PassBecauseNoConstraints","Pass","Fail")))</f>
      </c>
      <c r="G277" s="311"/>
      <c r="H277" s="22"/>
    </row>
    <row r="278" spans="1:8" ht="7.5" customHeight="1">
      <c r="A278" s="22"/>
      <c r="B278" s="25"/>
      <c r="C278" s="321"/>
      <c r="D278" s="25"/>
      <c r="E278" s="311"/>
      <c r="F278" s="145"/>
      <c r="G278" s="311"/>
      <c r="H278" s="22"/>
    </row>
    <row r="279" spans="1:8" ht="15" hidden="1">
      <c r="A279" s="22"/>
      <c r="B279" s="25"/>
      <c r="C279" s="321"/>
      <c r="D279" s="25"/>
      <c r="E279" s="311"/>
      <c r="F279" s="145"/>
      <c r="G279" s="311"/>
      <c r="H279" s="22"/>
    </row>
    <row r="280" spans="1:8" ht="15">
      <c r="A280" s="22"/>
      <c r="B280" s="25"/>
      <c r="C280" s="315">
        <f>HYPERLINK("#'Operations'!C60","Heritage Distribution Holdings")</f>
      </c>
      <c r="D280" s="25"/>
      <c r="E280" s="311"/>
      <c r="F280" s="322">
        <f>IF(Operations!P60="Pass","Pass",IF(Operations!P60="PassBecauseBlankAllowed","Pass",IF(Operations!P60="PassBecauseNoConstraints","Pass","Fail")))</f>
      </c>
      <c r="G280" s="311"/>
      <c r="H280" s="22"/>
    </row>
    <row r="281" spans="1:8" ht="7.5" customHeight="1">
      <c r="A281" s="22"/>
      <c r="B281" s="25"/>
      <c r="C281" s="321"/>
      <c r="D281" s="25"/>
      <c r="E281" s="311"/>
      <c r="F281" s="145"/>
      <c r="G281" s="311"/>
      <c r="H281" s="22"/>
    </row>
    <row r="282" spans="1:8" ht="15" hidden="1">
      <c r="A282" s="22"/>
      <c r="B282" s="25"/>
      <c r="C282" s="321"/>
      <c r="D282" s="25"/>
      <c r="E282" s="311"/>
      <c r="F282" s="145"/>
      <c r="G282" s="311"/>
      <c r="H282" s="22"/>
    </row>
    <row r="283" spans="1:8" ht="15">
      <c r="A283" s="22"/>
      <c r="B283" s="25"/>
      <c r="C283" s="315">
        <f>HYPERLINK("#'Operations'!C61","Johnstone Supply")</f>
      </c>
      <c r="D283" s="25"/>
      <c r="E283" s="311"/>
      <c r="F283" s="322">
        <f>IF(Operations!P61="Pass","Pass",IF(Operations!P61="PassBecauseBlankAllowed","Pass",IF(Operations!P61="PassBecauseNoConstraints","Pass","Fail")))</f>
      </c>
      <c r="G283" s="311"/>
      <c r="H283" s="22"/>
    </row>
    <row r="284" spans="1:8" ht="7.5" customHeight="1">
      <c r="A284" s="22"/>
      <c r="B284" s="25"/>
      <c r="C284" s="321"/>
      <c r="D284" s="25"/>
      <c r="E284" s="311"/>
      <c r="F284" s="145"/>
      <c r="G284" s="311"/>
      <c r="H284" s="22"/>
    </row>
    <row r="285" spans="1:8" ht="15" hidden="1">
      <c r="A285" s="22"/>
      <c r="B285" s="25"/>
      <c r="C285" s="321"/>
      <c r="D285" s="25"/>
      <c r="E285" s="311"/>
      <c r="F285" s="145"/>
      <c r="G285" s="311"/>
      <c r="H285" s="22"/>
    </row>
    <row r="286" spans="1:8" ht="15">
      <c r="A286" s="22"/>
      <c r="B286" s="25"/>
      <c r="C286" s="315">
        <f>HYPERLINK("#'Operations'!C62","Key Wholesaler Group")</f>
      </c>
      <c r="D286" s="25"/>
      <c r="E286" s="311"/>
      <c r="F286" s="322">
        <f>IF(Operations!P62="Pass","Pass",IF(Operations!P62="PassBecauseBlankAllowed","Pass",IF(Operations!P62="PassBecauseNoConstraints","Pass","Fail")))</f>
      </c>
      <c r="G286" s="311"/>
      <c r="H286" s="22"/>
    </row>
    <row r="287" spans="1:8" ht="7.5" customHeight="1">
      <c r="A287" s="22"/>
      <c r="B287" s="25"/>
      <c r="C287" s="321"/>
      <c r="D287" s="25"/>
      <c r="E287" s="311"/>
      <c r="F287" s="145"/>
      <c r="G287" s="311"/>
      <c r="H287" s="22"/>
    </row>
    <row r="288" spans="1:8" ht="15" hidden="1">
      <c r="A288" s="22"/>
      <c r="B288" s="25"/>
      <c r="C288" s="321"/>
      <c r="D288" s="25"/>
      <c r="E288" s="311"/>
      <c r="F288" s="145"/>
      <c r="G288" s="311"/>
      <c r="H288" s="22"/>
    </row>
    <row r="289" spans="1:8" ht="15">
      <c r="A289" s="22"/>
      <c r="B289" s="25"/>
      <c r="C289" s="315">
        <f>HYPERLINK("#'Operations'!C63","NIDC")</f>
      </c>
      <c r="D289" s="25"/>
      <c r="E289" s="311"/>
      <c r="F289" s="322">
        <f>IF(Operations!P63="Pass","Pass",IF(Operations!P63="PassBecauseBlankAllowed","Pass",IF(Operations!P63="PassBecauseNoConstraints","Pass","Fail")))</f>
      </c>
      <c r="G289" s="311"/>
      <c r="H289" s="22"/>
    </row>
    <row r="290" spans="1:8" ht="7.5" customHeight="1">
      <c r="A290" s="22"/>
      <c r="B290" s="25"/>
      <c r="C290" s="321"/>
      <c r="D290" s="25"/>
      <c r="E290" s="311"/>
      <c r="F290" s="145"/>
      <c r="G290" s="311"/>
      <c r="H290" s="22"/>
    </row>
    <row r="291" spans="1:8" ht="15" hidden="1">
      <c r="A291" s="22"/>
      <c r="B291" s="25"/>
      <c r="C291" s="321"/>
      <c r="D291" s="25"/>
      <c r="E291" s="311"/>
      <c r="F291" s="145"/>
      <c r="G291" s="311"/>
      <c r="H291" s="22"/>
    </row>
    <row r="292" spans="1:8" ht="15">
      <c r="A292" s="22"/>
      <c r="B292" s="25"/>
      <c r="C292" s="315">
        <f>HYPERLINK("#'Operations'!C64","The Commonwealth Group")</f>
      </c>
      <c r="D292" s="25"/>
      <c r="E292" s="311"/>
      <c r="F292" s="322">
        <f>IF(Operations!P64="Pass","Pass",IF(Operations!P64="PassBecauseBlankAllowed","Pass",IF(Operations!P64="PassBecauseNoConstraints","Pass","Fail")))</f>
      </c>
      <c r="G292" s="311"/>
      <c r="H292" s="22"/>
    </row>
    <row r="293" spans="1:8" ht="7.5" customHeight="1">
      <c r="A293" s="22"/>
      <c r="B293" s="25"/>
      <c r="C293" s="321"/>
      <c r="D293" s="25"/>
      <c r="E293" s="311"/>
      <c r="F293" s="145"/>
      <c r="G293" s="311"/>
      <c r="H293" s="22"/>
    </row>
    <row r="294" spans="1:8" ht="15" hidden="1">
      <c r="A294" s="22"/>
      <c r="B294" s="25"/>
      <c r="C294" s="321"/>
      <c r="D294" s="25"/>
      <c r="E294" s="311"/>
      <c r="F294" s="145"/>
      <c r="G294" s="311"/>
      <c r="H294" s="22"/>
    </row>
    <row r="295" spans="1:8" ht="15">
      <c r="A295" s="22"/>
      <c r="B295" s="25"/>
      <c r="C295" s="315">
        <f>HYPERLINK("#'Operations'!C81","Controls and Control Parts")</f>
      </c>
      <c r="D295" s="25"/>
      <c r="E295" s="311"/>
      <c r="F295" s="322">
        <f>IF(Operations!P81="Pass","Pass",IF(Operations!P81="PassBecauseBlankAllowed","Pass",IF(Operations!P81="PassBecauseNoConstraints","Pass","Fail")))</f>
      </c>
      <c r="G295" s="311"/>
      <c r="H295" s="22"/>
    </row>
    <row r="296" spans="1:8" ht="7.5" customHeight="1">
      <c r="A296" s="22"/>
      <c r="B296" s="25"/>
      <c r="C296" s="321"/>
      <c r="D296" s="25"/>
      <c r="E296" s="311"/>
      <c r="F296" s="145"/>
      <c r="G296" s="311"/>
      <c r="H296" s="22"/>
    </row>
    <row r="297" spans="1:8" ht="15" hidden="1">
      <c r="A297" s="22"/>
      <c r="B297" s="25"/>
      <c r="C297" s="321"/>
      <c r="D297" s="25"/>
      <c r="E297" s="311"/>
      <c r="F297" s="145"/>
      <c r="G297" s="311"/>
      <c r="H297" s="22"/>
    </row>
    <row r="298" spans="1:8" ht="15">
      <c r="A298" s="22"/>
      <c r="B298" s="25"/>
      <c r="C298" s="315">
        <f>HYPERLINK("#'Operations'!C82","Refrigerants and Refrigeration Accessories")</f>
      </c>
      <c r="D298" s="25"/>
      <c r="E298" s="311"/>
      <c r="F298" s="322">
        <f>IF(Operations!P82="Pass","Pass",IF(Operations!P82="PassBecauseBlankAllowed","Pass",IF(Operations!P82="PassBecauseNoConstraints","Pass","Fail")))</f>
      </c>
      <c r="G298" s="311"/>
      <c r="H298" s="22"/>
    </row>
    <row r="299" spans="1:8" ht="7.5" customHeight="1">
      <c r="A299" s="22"/>
      <c r="B299" s="25"/>
      <c r="C299" s="321"/>
      <c r="D299" s="25"/>
      <c r="E299" s="311"/>
      <c r="F299" s="145"/>
      <c r="G299" s="311"/>
      <c r="H299" s="22"/>
    </row>
    <row r="300" spans="1:8" ht="15" hidden="1">
      <c r="A300" s="22"/>
      <c r="B300" s="25"/>
      <c r="C300" s="321"/>
      <c r="D300" s="25"/>
      <c r="E300" s="311"/>
      <c r="F300" s="145"/>
      <c r="G300" s="311"/>
      <c r="H300" s="22"/>
    </row>
    <row r="301" spans="1:8" ht="15">
      <c r="A301" s="22"/>
      <c r="B301" s="25"/>
      <c r="C301" s="315">
        <f>HYPERLINK("#'Operations'!C83","Refrigeration Equipment")</f>
      </c>
      <c r="D301" s="25"/>
      <c r="E301" s="311"/>
      <c r="F301" s="322">
        <f>IF(Operations!P83="Pass","Pass",IF(Operations!P83="PassBecauseBlankAllowed","Pass",IF(Operations!P83="PassBecauseNoConstraints","Pass","Fail")))</f>
      </c>
      <c r="G301" s="311"/>
      <c r="H301" s="22"/>
    </row>
    <row r="302" spans="1:8" ht="7.5" customHeight="1">
      <c r="A302" s="22"/>
      <c r="B302" s="25"/>
      <c r="C302" s="321"/>
      <c r="D302" s="25"/>
      <c r="E302" s="311"/>
      <c r="F302" s="145"/>
      <c r="G302" s="311"/>
      <c r="H302" s="22"/>
    </row>
    <row r="303" spans="1:8" ht="15" hidden="1">
      <c r="A303" s="22"/>
      <c r="B303" s="25"/>
      <c r="C303" s="321"/>
      <c r="D303" s="25"/>
      <c r="E303" s="311"/>
      <c r="F303" s="145"/>
      <c r="G303" s="311"/>
      <c r="H303" s="22"/>
    </row>
    <row r="304" spans="1:8" ht="15">
      <c r="A304" s="22"/>
      <c r="B304" s="25"/>
      <c r="C304" s="315">
        <f>HYPERLINK("#'Operations'!C84","Sheet Metal and Sheet Metal Items (including flat sheets, rain goods, etc.)")</f>
      </c>
      <c r="D304" s="25"/>
      <c r="E304" s="311"/>
      <c r="F304" s="322">
        <f>IF(Operations!P84="Pass","Pass",IF(Operations!P84="PassBecauseBlankAllowed","Pass",IF(Operations!P84="PassBecauseNoConstraints","Pass","Fail")))</f>
      </c>
      <c r="G304" s="311"/>
      <c r="H304" s="22"/>
    </row>
    <row r="305" spans="1:8" ht="7.5" customHeight="1">
      <c r="A305" s="22"/>
      <c r="B305" s="25"/>
      <c r="C305" s="321"/>
      <c r="D305" s="25"/>
      <c r="E305" s="311"/>
      <c r="F305" s="145"/>
      <c r="G305" s="311"/>
      <c r="H305" s="22"/>
    </row>
    <row r="306" spans="1:8" ht="15" hidden="1">
      <c r="A306" s="22"/>
      <c r="B306" s="25"/>
      <c r="C306" s="321"/>
      <c r="D306" s="25"/>
      <c r="E306" s="311"/>
      <c r="F306" s="145"/>
      <c r="G306" s="311"/>
      <c r="H306" s="22"/>
    </row>
    <row r="307" spans="1:8" ht="15">
      <c r="A307" s="22"/>
      <c r="B307" s="25"/>
      <c r="C307" s="315">
        <f>HYPERLINK("#'Operations'!C85","HVAC Light Commercial Equipment")</f>
      </c>
      <c r="D307" s="25"/>
      <c r="E307" s="311"/>
      <c r="F307" s="322">
        <f>IF(Operations!P85="Pass","Pass",IF(Operations!P85="PassBecauseBlankAllowed","Pass",IF(Operations!P85="PassBecauseNoConstraints","Pass","Fail")))</f>
      </c>
      <c r="G307" s="311"/>
      <c r="H307" s="22"/>
    </row>
    <row r="308" spans="1:8" ht="7.5" customHeight="1">
      <c r="A308" s="22"/>
      <c r="B308" s="25"/>
      <c r="C308" s="321"/>
      <c r="D308" s="25"/>
      <c r="E308" s="311"/>
      <c r="F308" s="145"/>
      <c r="G308" s="311"/>
      <c r="H308" s="22"/>
    </row>
    <row r="309" spans="1:8" ht="15" hidden="1">
      <c r="A309" s="22"/>
      <c r="B309" s="25"/>
      <c r="C309" s="321"/>
      <c r="D309" s="25"/>
      <c r="E309" s="311"/>
      <c r="F309" s="145"/>
      <c r="G309" s="311"/>
      <c r="H309" s="22"/>
    </row>
    <row r="310" spans="1:8" ht="15">
      <c r="A310" s="22"/>
      <c r="B310" s="25"/>
      <c r="C310" s="315">
        <f>HYPERLINK("#'Operations'!C86","HVAC Unitary Equipment (incl. geothermal and gas-fired)")</f>
      </c>
      <c r="D310" s="25"/>
      <c r="E310" s="311"/>
      <c r="F310" s="322">
        <f>IF(Operations!P86="Pass","Pass",IF(Operations!P86="PassBecauseBlankAllowed","Pass",IF(Operations!P86="PassBecauseNoConstraints","Pass","Fail")))</f>
      </c>
      <c r="G310" s="311"/>
      <c r="H310" s="22"/>
    </row>
    <row r="311" spans="1:8" ht="7.5" customHeight="1">
      <c r="A311" s="22"/>
      <c r="B311" s="25"/>
      <c r="C311" s="321"/>
      <c r="D311" s="25"/>
      <c r="E311" s="311"/>
      <c r="F311" s="145"/>
      <c r="G311" s="311"/>
      <c r="H311" s="22"/>
    </row>
    <row r="312" spans="1:8" ht="15" hidden="1">
      <c r="A312" s="22"/>
      <c r="B312" s="25"/>
      <c r="C312" s="321"/>
      <c r="D312" s="25"/>
      <c r="E312" s="311"/>
      <c r="F312" s="145"/>
      <c r="G312" s="311"/>
      <c r="H312" s="22"/>
    </row>
    <row r="313" spans="1:8" ht="15">
      <c r="A313" s="22"/>
      <c r="B313" s="25"/>
      <c r="C313" s="315">
        <f>HYPERLINK("#'Operations'!C87","Heating and AC Supplies (registers, grilles, diffusers, vent pipes, humidifiers, etc.)")</f>
      </c>
      <c r="D313" s="25"/>
      <c r="E313" s="311"/>
      <c r="F313" s="322">
        <f>IF(Operations!P87="Pass","Pass",IF(Operations!P87="PassBecauseBlankAllowed","Pass",IF(Operations!P87="PassBecauseNoConstraints","Pass","Fail")))</f>
      </c>
      <c r="G313" s="311"/>
      <c r="H313" s="22"/>
    </row>
    <row r="314" spans="1:8" ht="7.5" customHeight="1">
      <c r="A314" s="22"/>
      <c r="B314" s="25"/>
      <c r="C314" s="321"/>
      <c r="D314" s="25"/>
      <c r="E314" s="311"/>
      <c r="F314" s="145"/>
      <c r="G314" s="311"/>
      <c r="H314" s="22"/>
    </row>
    <row r="315" spans="1:8" ht="15" hidden="1">
      <c r="A315" s="22"/>
      <c r="B315" s="25"/>
      <c r="C315" s="321"/>
      <c r="D315" s="25"/>
      <c r="E315" s="311"/>
      <c r="F315" s="145"/>
      <c r="G315" s="311"/>
      <c r="H315" s="22"/>
    </row>
    <row r="316" spans="1:8" ht="15">
      <c r="A316" s="22"/>
      <c r="B316" s="25"/>
      <c r="C316" s="315">
        <f>HYPERLINK("#'Operations'!C88","Plumbing and Hydronics (bathroom fixtures, sanitary piping, boilers,_x000d_
hydronic supplies, etc.)")</f>
      </c>
      <c r="D316" s="25"/>
      <c r="E316" s="311"/>
      <c r="F316" s="322">
        <f>IF(Operations!P88="Pass","Pass",IF(Operations!P88="PassBecauseBlankAllowed","Pass",IF(Operations!P88="PassBecauseNoConstraints","Pass","Fail")))</f>
      </c>
      <c r="G316" s="311"/>
      <c r="H316" s="22"/>
    </row>
    <row r="317" spans="1:8" ht="7.5" customHeight="1">
      <c r="A317" s="22"/>
      <c r="B317" s="25"/>
      <c r="C317" s="321"/>
      <c r="D317" s="25"/>
      <c r="E317" s="311"/>
      <c r="F317" s="145"/>
      <c r="G317" s="311"/>
      <c r="H317" s="22"/>
    </row>
    <row r="318" spans="1:8" ht="15" hidden="1">
      <c r="A318" s="22"/>
      <c r="B318" s="25"/>
      <c r="C318" s="321"/>
      <c r="D318" s="25"/>
      <c r="E318" s="311"/>
      <c r="F318" s="145"/>
      <c r="G318" s="311"/>
      <c r="H318" s="22"/>
    </row>
    <row r="319" spans="1:8" ht="15">
      <c r="A319" s="22"/>
      <c r="B319" s="25"/>
      <c r="C319" s="315">
        <f>HYPERLINK("#'Operations'!C89","All Other Products")</f>
      </c>
      <c r="D319" s="25"/>
      <c r="E319" s="311"/>
      <c r="F319" s="322">
        <f>IF(Operations!P89="Pass","Pass",IF(Operations!P89="PassBecauseBlankAllowed","Pass",IF(Operations!P89="PassBecauseNoConstraints","Pass","Fail")))</f>
      </c>
      <c r="G319" s="311"/>
      <c r="H319" s="22"/>
    </row>
    <row r="320" spans="1:8" ht="7.5" customHeight="1">
      <c r="A320" s="22"/>
      <c r="B320" s="25"/>
      <c r="C320" s="321"/>
      <c r="D320" s="25"/>
      <c r="E320" s="311"/>
      <c r="F320" s="145"/>
      <c r="G320" s="311"/>
      <c r="H320" s="22"/>
    </row>
    <row r="321" spans="1:8" ht="15" hidden="1">
      <c r="A321" s="22"/>
      <c r="B321" s="25"/>
      <c r="C321" s="321"/>
      <c r="D321" s="25"/>
      <c r="E321" s="311"/>
      <c r="F321" s="145"/>
      <c r="G321" s="311"/>
      <c r="H321" s="22"/>
    </row>
    <row r="322" spans="1:8" ht="15">
      <c r="A322" s="22"/>
      <c r="B322" s="25"/>
      <c r="C322" s="315">
        <f>HYPERLINK("#'Operations'!C97","[Total Sales by Path] - [Total Sales by Product Category]")</f>
      </c>
      <c r="D322" s="25"/>
      <c r="E322" s="311"/>
      <c r="F322" s="322">
        <f>IF(Operations!P97="Pass","Pass",IF(Operations!P97="PassBecauseBlankAllowed","Pass",IF(Operations!P97="PassBecauseNoConstraints","Pass","Fail")))</f>
      </c>
      <c r="G322" s="311"/>
      <c r="H322" s="22"/>
    </row>
    <row r="323" spans="1:8" ht="7.5" customHeight="1">
      <c r="A323" s="22"/>
      <c r="B323" s="25"/>
      <c r="C323" s="321"/>
      <c r="D323" s="25"/>
      <c r="E323" s="311"/>
      <c r="F323" s="145"/>
      <c r="G323" s="311"/>
      <c r="H323" s="22"/>
    </row>
    <row r="324" spans="1:8" ht="15" hidden="1">
      <c r="A324" s="22"/>
      <c r="B324" s="25"/>
      <c r="C324" s="321"/>
      <c r="D324" s="25"/>
      <c r="E324" s="311"/>
      <c r="F324" s="145"/>
      <c r="G324" s="311"/>
      <c r="H324" s="22"/>
    </row>
    <row r="325" spans="1:8" ht="15">
      <c r="A325" s="22"/>
      <c r="B325" s="25"/>
      <c r="C325" s="315">
        <f>HYPERLINK("#'Operations'!C109","Number of Active Customers With 6 or More Orders Annually")</f>
      </c>
      <c r="D325" s="25"/>
      <c r="E325" s="311"/>
      <c r="F325" s="322">
        <f>IF(Operations!P109="Pass","Pass",IF(Operations!P109="PassBecauseBlankAllowed","Pass",IF(Operations!P109="PassBecauseNoConstraints","Pass","Fail")))</f>
      </c>
      <c r="G325" s="311"/>
      <c r="H325" s="22"/>
    </row>
    <row r="326" spans="1:8" ht="7.5" customHeight="1">
      <c r="A326" s="22"/>
      <c r="B326" s="25"/>
      <c r="C326" s="321"/>
      <c r="D326" s="25"/>
      <c r="E326" s="311"/>
      <c r="F326" s="145"/>
      <c r="G326" s="311"/>
      <c r="H326" s="22"/>
    </row>
    <row r="327" spans="1:8" ht="15" hidden="1">
      <c r="A327" s="22"/>
      <c r="B327" s="25"/>
      <c r="C327" s="321"/>
      <c r="D327" s="25"/>
      <c r="E327" s="311"/>
      <c r="F327" s="145"/>
      <c r="G327" s="311"/>
      <c r="H327" s="22"/>
    </row>
    <row r="328" spans="1:8" ht="15">
      <c r="A328" s="22"/>
      <c r="B328" s="25"/>
      <c r="C328" s="315">
        <f>HYPERLINK("#'Operations'!C110","Number of Stock Keeping Units (SKUs) Carried")</f>
      </c>
      <c r="D328" s="25"/>
      <c r="E328" s="311"/>
      <c r="F328" s="322">
        <f>IF(Operations!P110="Pass","Pass",IF(Operations!P110="PassBecauseBlankAllowed","Pass",IF(Operations!P110="PassBecauseNoConstraints","Pass","Fail")))</f>
      </c>
      <c r="G328" s="311"/>
      <c r="H328" s="22"/>
    </row>
    <row r="329" spans="1:8" ht="7.5" customHeight="1">
      <c r="A329" s="22"/>
      <c r="B329" s="25"/>
      <c r="C329" s="321"/>
      <c r="D329" s="25"/>
      <c r="E329" s="311"/>
      <c r="F329" s="145"/>
      <c r="G329" s="311"/>
      <c r="H329" s="22"/>
    </row>
    <row r="330" spans="1:8" ht="15" hidden="1">
      <c r="A330" s="22"/>
      <c r="B330" s="25"/>
      <c r="C330" s="321"/>
      <c r="D330" s="25"/>
      <c r="E330" s="311"/>
      <c r="F330" s="145"/>
      <c r="G330" s="311"/>
      <c r="H330" s="22"/>
    </row>
    <row r="331" spans="1:8" ht="15">
      <c r="A331" s="22"/>
      <c r="B331" s="25"/>
      <c r="C331" s="315">
        <f>HYPERLINK("#'Operations'!C111","Average Number of Orders Shipped Monthly")</f>
      </c>
      <c r="D331" s="25"/>
      <c r="E331" s="311"/>
      <c r="F331" s="322">
        <f>IF(Operations!P111="Pass","Pass",IF(Operations!P111="PassBecauseBlankAllowed","Pass",IF(Operations!P111="PassBecauseNoConstraints","Pass","Fail")))</f>
      </c>
      <c r="G331" s="311"/>
      <c r="H331" s="22"/>
    </row>
    <row r="332" spans="1:8" ht="7.5" customHeight="1">
      <c r="A332" s="22"/>
      <c r="B332" s="25"/>
      <c r="C332" s="321"/>
      <c r="D332" s="25"/>
      <c r="E332" s="311"/>
      <c r="F332" s="145"/>
      <c r="G332" s="311"/>
      <c r="H332" s="22"/>
    </row>
    <row r="333" spans="1:8" ht="15" hidden="1">
      <c r="A333" s="22"/>
      <c r="B333" s="25"/>
      <c r="C333" s="321"/>
      <c r="D333" s="25"/>
      <c r="E333" s="311"/>
      <c r="F333" s="145"/>
      <c r="G333" s="311"/>
      <c r="H333" s="22"/>
    </row>
    <row r="334" spans="1:8" ht="15">
      <c r="A334" s="22"/>
      <c r="B334" s="25"/>
      <c r="C334" s="315">
        <f>HYPERLINK("#'Operations'!C112","Average Number of Lines Per Order")</f>
      </c>
      <c r="D334" s="25"/>
      <c r="E334" s="311"/>
      <c r="F334" s="322">
        <f>IF(Operations!P112="Pass","Pass",IF(Operations!P112="PassBecauseBlankAllowed","Pass",IF(Operations!P112="PassBecauseNoConstraints","Pass","Fail")))</f>
      </c>
      <c r="G334" s="311"/>
      <c r="H334" s="22"/>
    </row>
    <row r="335" spans="1:8" ht="7.5" customHeight="1">
      <c r="A335" s="22"/>
      <c r="B335" s="25"/>
      <c r="C335" s="321"/>
      <c r="D335" s="25"/>
      <c r="E335" s="311"/>
      <c r="F335" s="145"/>
      <c r="G335" s="311"/>
      <c r="H335" s="22"/>
    </row>
    <row r="336" spans="1:8" ht="15" hidden="1">
      <c r="A336" s="22"/>
      <c r="B336" s="25"/>
      <c r="C336" s="321"/>
      <c r="D336" s="25"/>
      <c r="E336" s="311"/>
      <c r="F336" s="145"/>
      <c r="G336" s="311"/>
      <c r="H336" s="22"/>
    </row>
    <row r="337" spans="1:8" ht="15">
      <c r="A337" s="22"/>
      <c r="B337" s="25"/>
      <c r="C337" s="315">
        <f>HYPERLINK("#'Operations'!C113","Average Number of Shipments Received Monthly")</f>
      </c>
      <c r="D337" s="25"/>
      <c r="E337" s="311"/>
      <c r="F337" s="322">
        <f>IF(Operations!P113="Pass","Pass",IF(Operations!P113="PassBecauseBlankAllowed","Pass",IF(Operations!P113="PassBecauseNoConstraints","Pass","Fail")))</f>
      </c>
      <c r="G337" s="311"/>
      <c r="H337" s="22"/>
    </row>
    <row r="338" spans="1:8" ht="7.5" customHeight="1">
      <c r="A338" s="22"/>
      <c r="B338" s="25"/>
      <c r="C338" s="321"/>
      <c r="D338" s="25"/>
      <c r="E338" s="311"/>
      <c r="F338" s="145"/>
      <c r="G338" s="311"/>
      <c r="H338" s="22"/>
    </row>
    <row r="339" spans="1:8" ht="15" hidden="1">
      <c r="A339" s="22"/>
      <c r="B339" s="25"/>
      <c r="C339" s="321"/>
      <c r="D339" s="25"/>
      <c r="E339" s="311"/>
      <c r="F339" s="145"/>
      <c r="G339" s="311"/>
      <c r="H339" s="22"/>
    </row>
    <row r="340" spans="1:8" ht="15">
      <c r="A340" s="22"/>
      <c r="B340" s="25"/>
      <c r="C340" s="315">
        <f>HYPERLINK("#'Operations'!C114","Number of Branches")</f>
      </c>
      <c r="D340" s="25"/>
      <c r="E340" s="311"/>
      <c r="F340" s="322">
        <f>IF(Operations!P114="Pass","Pass",IF(Operations!P114="PassBecauseBlankAllowed","Pass",IF(Operations!P114="PassBecauseNoConstraints","Pass","Fail")))</f>
      </c>
      <c r="G340" s="311"/>
      <c r="H340" s="22"/>
    </row>
    <row r="341" spans="1:8" ht="7.5" customHeight="1">
      <c r="A341" s="22"/>
      <c r="B341" s="25"/>
      <c r="C341" s="321"/>
      <c r="D341" s="25"/>
      <c r="E341" s="311"/>
      <c r="F341" s="145"/>
      <c r="G341" s="311"/>
      <c r="H341" s="22"/>
    </row>
    <row r="342" spans="1:8" ht="15" hidden="1">
      <c r="A342" s="22"/>
      <c r="B342" s="25"/>
      <c r="C342" s="321"/>
      <c r="D342" s="25"/>
      <c r="E342" s="311"/>
      <c r="F342" s="145"/>
      <c r="G342" s="311"/>
      <c r="H342" s="22"/>
    </row>
    <row r="343" spans="1:8" ht="15">
      <c r="A343" s="22"/>
      <c r="B343" s="25"/>
      <c r="C343" s="315">
        <f>HYPERLINK("#'Operations'!C132","Executive Management (officers, owners, key managers)")</f>
      </c>
      <c r="D343" s="25"/>
      <c r="E343" s="311"/>
      <c r="F343" s="322">
        <f>IF(Operations!P132="Pass","Pass",IF(Operations!P132="PassBecauseBlankAllowed","Pass",IF(Operations!P132="PassBecauseNoConstraints","Pass","Fail")))</f>
      </c>
      <c r="G343" s="311"/>
      <c r="H343" s="22"/>
    </row>
    <row r="344" spans="1:8" ht="7.5" customHeight="1">
      <c r="A344" s="22"/>
      <c r="B344" s="25"/>
      <c r="C344" s="321"/>
      <c r="D344" s="25"/>
      <c r="E344" s="311"/>
      <c r="F344" s="145"/>
      <c r="G344" s="311"/>
      <c r="H344" s="22"/>
    </row>
    <row r="345" spans="1:8" ht="15" hidden="1">
      <c r="A345" s="22"/>
      <c r="B345" s="25"/>
      <c r="C345" s="321"/>
      <c r="D345" s="25"/>
      <c r="E345" s="311"/>
      <c r="F345" s="145"/>
      <c r="G345" s="311"/>
      <c r="H345" s="22"/>
    </row>
    <row r="346" spans="1:8" ht="15">
      <c r="A346" s="22"/>
      <c r="B346" s="25"/>
      <c r="C346" s="315">
        <f>HYPERLINK("#'Operations'!C140","Sales Management")</f>
      </c>
      <c r="D346" s="25"/>
      <c r="E346" s="311"/>
      <c r="F346" s="322">
        <f>IF(Operations!P140="Pass","Pass",IF(Operations!P140="PassBecauseBlankAllowed","Pass",IF(Operations!P140="PassBecauseNoConstraints","Pass","Fail")))</f>
      </c>
      <c r="G346" s="311"/>
      <c r="H346" s="22"/>
    </row>
    <row r="347" spans="1:8" ht="7.5" customHeight="1">
      <c r="A347" s="22"/>
      <c r="B347" s="25"/>
      <c r="C347" s="321"/>
      <c r="D347" s="25"/>
      <c r="E347" s="311"/>
      <c r="F347" s="145"/>
      <c r="G347" s="311"/>
      <c r="H347" s="22"/>
    </row>
    <row r="348" spans="1:8" ht="15" hidden="1">
      <c r="A348" s="22"/>
      <c r="B348" s="25"/>
      <c r="C348" s="321"/>
      <c r="D348" s="25"/>
      <c r="E348" s="311"/>
      <c r="F348" s="145"/>
      <c r="G348" s="311"/>
      <c r="H348" s="22"/>
    </row>
    <row r="349" spans="1:8" ht="15">
      <c r="A349" s="22"/>
      <c r="B349" s="25"/>
      <c r="C349" s="315">
        <f>HYPERLINK("#'Operations'!C141","Outside Sales")</f>
      </c>
      <c r="D349" s="25"/>
      <c r="E349" s="311"/>
      <c r="F349" s="322">
        <f>IF(Operations!P141="Pass","Pass",IF(Operations!P141="PassBecauseBlankAllowed","Pass",IF(Operations!P141="PassBecauseNoConstraints","Pass","Fail")))</f>
      </c>
      <c r="G349" s="311"/>
      <c r="H349" s="22"/>
    </row>
    <row r="350" spans="1:8" ht="7.5" customHeight="1">
      <c r="A350" s="22"/>
      <c r="B350" s="25"/>
      <c r="C350" s="321"/>
      <c r="D350" s="25"/>
      <c r="E350" s="311"/>
      <c r="F350" s="145"/>
      <c r="G350" s="311"/>
      <c r="H350" s="22"/>
    </row>
    <row r="351" spans="1:8" ht="15" hidden="1">
      <c r="A351" s="22"/>
      <c r="B351" s="25"/>
      <c r="C351" s="321"/>
      <c r="D351" s="25"/>
      <c r="E351" s="311"/>
      <c r="F351" s="145"/>
      <c r="G351" s="311"/>
      <c r="H351" s="22"/>
    </row>
    <row r="352" spans="1:8" ht="15">
      <c r="A352" s="22"/>
      <c r="B352" s="25"/>
      <c r="C352" s="315">
        <f>HYPERLINK("#'Operations'!C142","Inside Sales (including counter sales)")</f>
      </c>
      <c r="D352" s="25"/>
      <c r="E352" s="311"/>
      <c r="F352" s="322">
        <f>IF(Operations!P142="Pass","Pass",IF(Operations!P142="PassBecauseBlankAllowed","Pass",IF(Operations!P142="PassBecauseNoConstraints","Pass","Fail")))</f>
      </c>
      <c r="G352" s="311"/>
      <c r="H352" s="22"/>
    </row>
    <row r="353" spans="1:8" ht="7.5" customHeight="1">
      <c r="A353" s="22"/>
      <c r="B353" s="25"/>
      <c r="C353" s="321"/>
      <c r="D353" s="25"/>
      <c r="E353" s="311"/>
      <c r="F353" s="145"/>
      <c r="G353" s="311"/>
      <c r="H353" s="22"/>
    </row>
    <row r="354" spans="1:8" ht="15" hidden="1">
      <c r="A354" s="22"/>
      <c r="B354" s="25"/>
      <c r="C354" s="321"/>
      <c r="D354" s="25"/>
      <c r="E354" s="311"/>
      <c r="F354" s="145"/>
      <c r="G354" s="311"/>
      <c r="H354" s="22"/>
    </row>
    <row r="355" spans="1:8" ht="15">
      <c r="A355" s="22"/>
      <c r="B355" s="25"/>
      <c r="C355" s="315">
        <f>HYPERLINK("#'Operations'!C153","Purchasing Department")</f>
      </c>
      <c r="D355" s="25"/>
      <c r="E355" s="311"/>
      <c r="F355" s="322">
        <f>IF(Operations!P153="Pass","Pass",IF(Operations!P153="PassBecauseBlankAllowed","Pass",IF(Operations!P153="PassBecauseNoConstraints","Pass","Fail")))</f>
      </c>
      <c r="G355" s="311"/>
      <c r="H355" s="22"/>
    </row>
    <row r="356" spans="1:8" ht="7.5" customHeight="1">
      <c r="A356" s="22"/>
      <c r="B356" s="25"/>
      <c r="C356" s="321"/>
      <c r="D356" s="25"/>
      <c r="E356" s="311"/>
      <c r="F356" s="145"/>
      <c r="G356" s="311"/>
      <c r="H356" s="22"/>
    </row>
    <row r="357" spans="1:8" ht="15" hidden="1">
      <c r="A357" s="22"/>
      <c r="B357" s="25"/>
      <c r="C357" s="321"/>
      <c r="D357" s="25"/>
      <c r="E357" s="311"/>
      <c r="F357" s="145"/>
      <c r="G357" s="311"/>
      <c r="H357" s="22"/>
    </row>
    <row r="358" spans="1:8" ht="15">
      <c r="A358" s="22"/>
      <c r="B358" s="25"/>
      <c r="C358" s="315">
        <f>HYPERLINK("#'Operations'!C154","Credit Department")</f>
      </c>
      <c r="D358" s="25"/>
      <c r="E358" s="311"/>
      <c r="F358" s="322">
        <f>IF(Operations!P154="Pass","Pass",IF(Operations!P154="PassBecauseBlankAllowed","Pass",IF(Operations!P154="PassBecauseNoConstraints","Pass","Fail")))</f>
      </c>
      <c r="G358" s="311"/>
      <c r="H358" s="22"/>
    </row>
    <row r="359" spans="1:8" ht="7.5" customHeight="1">
      <c r="A359" s="22"/>
      <c r="B359" s="25"/>
      <c r="C359" s="321"/>
      <c r="D359" s="25"/>
      <c r="E359" s="311"/>
      <c r="F359" s="145"/>
      <c r="G359" s="311"/>
      <c r="H359" s="22"/>
    </row>
    <row r="360" spans="1:8" ht="15" hidden="1">
      <c r="A360" s="22"/>
      <c r="B360" s="25"/>
      <c r="C360" s="321"/>
      <c r="D360" s="25"/>
      <c r="E360" s="311"/>
      <c r="F360" s="145"/>
      <c r="G360" s="311"/>
      <c r="H360" s="22"/>
    </row>
    <row r="361" spans="1:8" ht="15">
      <c r="A361" s="22"/>
      <c r="B361" s="25"/>
      <c r="C361" s="315">
        <f>HYPERLINK("#'Operations'!C155","Accounting")</f>
      </c>
      <c r="D361" s="25"/>
      <c r="E361" s="311"/>
      <c r="F361" s="322">
        <f>IF(Operations!P155="Pass","Pass",IF(Operations!P155="PassBecauseBlankAllowed","Pass",IF(Operations!P155="PassBecauseNoConstraints","Pass","Fail")))</f>
      </c>
      <c r="G361" s="311"/>
      <c r="H361" s="22"/>
    </row>
    <row r="362" spans="1:8" ht="7.5" customHeight="1">
      <c r="A362" s="22"/>
      <c r="B362" s="25"/>
      <c r="C362" s="321"/>
      <c r="D362" s="25"/>
      <c r="E362" s="311"/>
      <c r="F362" s="145"/>
      <c r="G362" s="311"/>
      <c r="H362" s="22"/>
    </row>
    <row r="363" spans="1:8" ht="15" hidden="1">
      <c r="A363" s="22"/>
      <c r="B363" s="25"/>
      <c r="C363" s="321"/>
      <c r="D363" s="25"/>
      <c r="E363" s="311"/>
      <c r="F363" s="145"/>
      <c r="G363" s="311"/>
      <c r="H363" s="22"/>
    </row>
    <row r="364" spans="1:8" ht="15">
      <c r="A364" s="22"/>
      <c r="B364" s="25"/>
      <c r="C364" s="315">
        <f>HYPERLINK("#'Operations'!C166","Branch Management")</f>
      </c>
      <c r="D364" s="25"/>
      <c r="E364" s="311"/>
      <c r="F364" s="322">
        <f>IF(Operations!P166="Pass","Pass",IF(Operations!P166="PassBecauseBlankAllowed","Pass",IF(Operations!P166="PassBecauseNoConstraints","Pass","Fail")))</f>
      </c>
      <c r="G364" s="311"/>
      <c r="H364" s="22"/>
    </row>
    <row r="365" spans="1:8" ht="7.5" customHeight="1">
      <c r="A365" s="22"/>
      <c r="B365" s="25"/>
      <c r="C365" s="321"/>
      <c r="D365" s="25"/>
      <c r="E365" s="311"/>
      <c r="F365" s="145"/>
      <c r="G365" s="311"/>
      <c r="H365" s="22"/>
    </row>
    <row r="366" spans="1:8" ht="15" hidden="1">
      <c r="A366" s="22"/>
      <c r="B366" s="25"/>
      <c r="C366" s="321"/>
      <c r="D366" s="25"/>
      <c r="E366" s="311"/>
      <c r="F366" s="145"/>
      <c r="G366" s="311"/>
      <c r="H366" s="22"/>
    </row>
    <row r="367" spans="1:8" ht="15">
      <c r="A367" s="22"/>
      <c r="B367" s="25"/>
      <c r="C367" s="315">
        <f>HYPERLINK("#'Operations'!C167","Warehouse")</f>
      </c>
      <c r="D367" s="25"/>
      <c r="E367" s="311"/>
      <c r="F367" s="322">
        <f>IF(Operations!P167="Pass","Pass",IF(Operations!P167="PassBecauseBlankAllowed","Pass",IF(Operations!P167="PassBecauseNoConstraints","Pass","Fail")))</f>
      </c>
      <c r="G367" s="311"/>
      <c r="H367" s="22"/>
    </row>
    <row r="368" spans="1:8" ht="7.5" customHeight="1">
      <c r="A368" s="22"/>
      <c r="B368" s="25"/>
      <c r="C368" s="321"/>
      <c r="D368" s="25"/>
      <c r="E368" s="311"/>
      <c r="F368" s="145"/>
      <c r="G368" s="311"/>
      <c r="H368" s="22"/>
    </row>
    <row r="369" spans="1:8" ht="15" hidden="1">
      <c r="A369" s="22"/>
      <c r="B369" s="25"/>
      <c r="C369" s="321"/>
      <c r="D369" s="25"/>
      <c r="E369" s="311"/>
      <c r="F369" s="145"/>
      <c r="G369" s="311"/>
      <c r="H369" s="22"/>
    </row>
    <row r="370" spans="1:8" ht="15">
      <c r="A370" s="22"/>
      <c r="B370" s="25"/>
      <c r="C370" s="315">
        <f>HYPERLINK("#'Operations'!C168","Delivery Drivers")</f>
      </c>
      <c r="D370" s="25"/>
      <c r="E370" s="311"/>
      <c r="F370" s="322">
        <f>IF(Operations!P168="Pass","Pass",IF(Operations!P168="PassBecauseBlankAllowed","Pass",IF(Operations!P168="PassBecauseNoConstraints","Pass","Fail")))</f>
      </c>
      <c r="G370" s="311"/>
      <c r="H370" s="22"/>
    </row>
    <row r="371" spans="1:8" ht="7.5" customHeight="1">
      <c r="A371" s="22"/>
      <c r="B371" s="25"/>
      <c r="C371" s="321"/>
      <c r="D371" s="25"/>
      <c r="E371" s="311"/>
      <c r="F371" s="145"/>
      <c r="G371" s="311"/>
      <c r="H371" s="22"/>
    </row>
    <row r="372" spans="1:8" ht="15" hidden="1">
      <c r="A372" s="22"/>
      <c r="B372" s="25"/>
      <c r="C372" s="321"/>
      <c r="D372" s="25"/>
      <c r="E372" s="311"/>
      <c r="F372" s="145"/>
      <c r="G372" s="311"/>
      <c r="H372" s="22"/>
    </row>
    <row r="373" spans="1:8" ht="15">
      <c r="A373" s="22"/>
      <c r="B373" s="25"/>
      <c r="C373" s="315">
        <f>HYPERLINK("#'Operations'!C179","Customer Training and Technical Support")</f>
      </c>
      <c r="D373" s="25"/>
      <c r="E373" s="311"/>
      <c r="F373" s="322">
        <f>IF(Operations!P179="Pass","Pass",IF(Operations!P179="PassBecauseBlankAllowed","Pass",IF(Operations!P179="PassBecauseNoConstraints","Pass","Fail")))</f>
      </c>
      <c r="G373" s="311"/>
      <c r="H373" s="22"/>
    </row>
    <row r="374" spans="1:8" ht="7.5" customHeight="1">
      <c r="A374" s="22"/>
      <c r="B374" s="25"/>
      <c r="C374" s="321"/>
      <c r="D374" s="25"/>
      <c r="E374" s="311"/>
      <c r="F374" s="145"/>
      <c r="G374" s="311"/>
      <c r="H374" s="22"/>
    </row>
    <row r="375" spans="1:8" ht="15" hidden="1">
      <c r="A375" s="22"/>
      <c r="B375" s="25"/>
      <c r="C375" s="321"/>
      <c r="D375" s="25"/>
      <c r="E375" s="311"/>
      <c r="F375" s="145"/>
      <c r="G375" s="311"/>
      <c r="H375" s="22"/>
    </row>
    <row r="376" spans="1:8" ht="15">
      <c r="A376" s="22"/>
      <c r="B376" s="25"/>
      <c r="C376" s="315">
        <f>HYPERLINK("#'Operations'!C180","Information Technology")</f>
      </c>
      <c r="D376" s="25"/>
      <c r="E376" s="311"/>
      <c r="F376" s="322">
        <f>IF(Operations!P180="Pass","Pass",IF(Operations!P180="PassBecauseBlankAllowed","Pass",IF(Operations!P180="PassBecauseNoConstraints","Pass","Fail")))</f>
      </c>
      <c r="G376" s="311"/>
      <c r="H376" s="22"/>
    </row>
    <row r="377" spans="1:8" ht="7.5" customHeight="1">
      <c r="A377" s="22"/>
      <c r="B377" s="25"/>
      <c r="C377" s="321"/>
      <c r="D377" s="25"/>
      <c r="E377" s="311"/>
      <c r="F377" s="145"/>
      <c r="G377" s="311"/>
      <c r="H377" s="22"/>
    </row>
    <row r="378" spans="1:8" ht="15" hidden="1">
      <c r="A378" s="22"/>
      <c r="B378" s="25"/>
      <c r="C378" s="321"/>
      <c r="D378" s="25"/>
      <c r="E378" s="311"/>
      <c r="F378" s="145"/>
      <c r="G378" s="311"/>
      <c r="H378" s="22"/>
    </row>
    <row r="379" spans="1:8" ht="15">
      <c r="A379" s="22"/>
      <c r="B379" s="25"/>
      <c r="C379" s="315">
        <f>HYPERLINK("#'Operations'!C181","All Other Employees")</f>
      </c>
      <c r="D379" s="25"/>
      <c r="E379" s="311"/>
      <c r="F379" s="322">
        <f>IF(Operations!P181="Pass","Pass",IF(Operations!P181="PassBecauseBlankAllowed","Pass",IF(Operations!P181="PassBecauseNoConstraints","Pass","Fail")))</f>
      </c>
      <c r="G379" s="311"/>
      <c r="H379" s="22"/>
    </row>
    <row r="380" spans="1:8" ht="7.5" customHeight="1">
      <c r="A380" s="22"/>
      <c r="B380" s="25"/>
      <c r="C380" s="321"/>
      <c r="D380" s="25"/>
      <c r="E380" s="311"/>
      <c r="F380" s="145"/>
      <c r="G380" s="311"/>
      <c r="H380" s="22"/>
    </row>
    <row r="381" spans="1:8" ht="15" hidden="1">
      <c r="A381" s="22"/>
      <c r="B381" s="25"/>
      <c r="C381" s="321"/>
      <c r="D381" s="25"/>
      <c r="E381" s="311"/>
      <c r="F381" s="145"/>
      <c r="G381" s="311"/>
      <c r="H381" s="22"/>
    </row>
    <row r="382" spans="1:8" ht="15">
      <c r="A382" s="22"/>
      <c r="B382" s="25"/>
      <c r="C382" s="315">
        <f>HYPERLINK("#'Operations'!C189","Total Number of FTEs")</f>
      </c>
      <c r="D382" s="25"/>
      <c r="E382" s="311"/>
      <c r="F382" s="322">
        <f>IF(Operations!P189="Pass","Pass",IF(Operations!P189="PassBecauseBlankAllowed","Pass",IF(Operations!P189="PassBecauseNoConstraints","Pass","Fail")))</f>
      </c>
      <c r="G382" s="311"/>
      <c r="H382" s="22"/>
    </row>
    <row r="383" spans="1:8" ht="7.5" customHeight="1">
      <c r="A383" s="22"/>
      <c r="B383" s="25"/>
      <c r="C383" s="321"/>
      <c r="D383" s="25"/>
      <c r="E383" s="311"/>
      <c r="F383" s="145"/>
      <c r="G383" s="311"/>
      <c r="H383" s="22"/>
    </row>
    <row r="384" spans="1:8" ht="15" customHeight="1">
      <c r="A384" s="22"/>
      <c r="B384" s="25"/>
      <c r="C384" s="36"/>
      <c r="D384" s="25"/>
      <c r="E384" s="311"/>
      <c r="F384" s="145"/>
      <c r="G384" s="311"/>
      <c r="H384" s="22"/>
    </row>
    <row r="385" spans="1:8" ht="37.5" customHeight="1">
      <c r="A385" s="22" t="s">
        <v>17</v>
      </c>
      <c r="B385" s="22" t="s">
        <v>17</v>
      </c>
      <c r="C385" s="22" t="s">
        <v>17</v>
      </c>
      <c r="D385" s="22" t="s">
        <v>17</v>
      </c>
      <c r="E385" s="22" t="s">
        <v>17</v>
      </c>
      <c r="F385" s="22" t="s">
        <v>17</v>
      </c>
      <c r="G385" s="22" t="s">
        <v>17</v>
      </c>
      <c r="H385" s="22" t="s">
        <v>17</v>
      </c>
    </row>
  </sheetData>
  <sheetProtection password="F7F9" sheet="1" objects="1" scenarios="1"/>
  <mergeCells count="10">
    <mergeCell ref="A1:H1"/>
    <mergeCell ref="A385:H385"/>
    <mergeCell ref="C7:F7"/>
    <mergeCell ref="C8:F8"/>
    <mergeCell ref="C9:F9"/>
    <mergeCell ref="C10:F10"/>
    <mergeCell ref="C11:F11"/>
    <mergeCell ref="C12:F12"/>
    <mergeCell ref="C13:F13"/>
    <mergeCell ref="C14:F14"/>
  </mergeCells>
  <conditionalFormatting sqref="A1:H1">
    <cfRule type="cellIs" priority="1" dxfId="0" operator="notEqual" stopIfTrue="1">
      <formula>""</formula>
    </cfRule>
  </conditionalFormatting>
  <conditionalFormatting sqref="F22">
    <cfRule type="cellIs" priority="2" dxfId="1" operator="equal" stopIfTrue="1">
      <formula>"Fail"</formula>
    </cfRule>
    <cfRule type="cellIs" priority="3" dxfId="2" operator="equal" stopIfTrue="1">
      <formula>"Pass"</formula>
    </cfRule>
  </conditionalFormatting>
  <conditionalFormatting sqref="F25">
    <cfRule type="cellIs" priority="4" dxfId="1" operator="equal" stopIfTrue="1">
      <formula>"Fail"</formula>
    </cfRule>
    <cfRule type="cellIs" priority="5" dxfId="2" operator="equal" stopIfTrue="1">
      <formula>"Pass"</formula>
    </cfRule>
  </conditionalFormatting>
  <conditionalFormatting sqref="F28">
    <cfRule type="cellIs" priority="6" dxfId="1" operator="equal" stopIfTrue="1">
      <formula>"Fail"</formula>
    </cfRule>
    <cfRule type="cellIs" priority="7" dxfId="2" operator="equal" stopIfTrue="1">
      <formula>"Pass"</formula>
    </cfRule>
  </conditionalFormatting>
  <conditionalFormatting sqref="F31">
    <cfRule type="cellIs" priority="8" dxfId="1" operator="equal" stopIfTrue="1">
      <formula>"Fail"</formula>
    </cfRule>
    <cfRule type="cellIs" priority="9" dxfId="2" operator="equal" stopIfTrue="1">
      <formula>"Pass"</formula>
    </cfRule>
  </conditionalFormatting>
  <conditionalFormatting sqref="F34">
    <cfRule type="cellIs" priority="10" dxfId="1" operator="equal" stopIfTrue="1">
      <formula>"Fail"</formula>
    </cfRule>
    <cfRule type="cellIs" priority="11" dxfId="2" operator="equal" stopIfTrue="1">
      <formula>"Pass"</formula>
    </cfRule>
  </conditionalFormatting>
  <conditionalFormatting sqref="F37">
    <cfRule type="cellIs" priority="12" dxfId="1" operator="equal" stopIfTrue="1">
      <formula>"Fail"</formula>
    </cfRule>
    <cfRule type="cellIs" priority="13" dxfId="2" operator="equal" stopIfTrue="1">
      <formula>"Pass"</formula>
    </cfRule>
  </conditionalFormatting>
  <conditionalFormatting sqref="F40">
    <cfRule type="cellIs" priority="14" dxfId="1" operator="equal" stopIfTrue="1">
      <formula>"Fail"</formula>
    </cfRule>
    <cfRule type="cellIs" priority="15" dxfId="2" operator="equal" stopIfTrue="1">
      <formula>"Pass"</formula>
    </cfRule>
  </conditionalFormatting>
  <conditionalFormatting sqref="F43">
    <cfRule type="cellIs" priority="16" dxfId="1" operator="equal" stopIfTrue="1">
      <formula>"Fail"</formula>
    </cfRule>
    <cfRule type="cellIs" priority="17" dxfId="2" operator="equal" stopIfTrue="1">
      <formula>"Pass"</formula>
    </cfRule>
  </conditionalFormatting>
  <conditionalFormatting sqref="F46">
    <cfRule type="cellIs" priority="18" dxfId="1" operator="equal" stopIfTrue="1">
      <formula>"Fail"</formula>
    </cfRule>
    <cfRule type="cellIs" priority="19" dxfId="2" operator="equal" stopIfTrue="1">
      <formula>"Pass"</formula>
    </cfRule>
  </conditionalFormatting>
  <conditionalFormatting sqref="F49">
    <cfRule type="cellIs" priority="20" dxfId="1" operator="equal" stopIfTrue="1">
      <formula>"Fail"</formula>
    </cfRule>
    <cfRule type="cellIs" priority="21" dxfId="2" operator="equal" stopIfTrue="1">
      <formula>"Pass"</formula>
    </cfRule>
  </conditionalFormatting>
  <conditionalFormatting sqref="F52">
    <cfRule type="cellIs" priority="22" dxfId="1" operator="equal" stopIfTrue="1">
      <formula>"Fail"</formula>
    </cfRule>
    <cfRule type="cellIs" priority="23" dxfId="2" operator="equal" stopIfTrue="1">
      <formula>"Pass"</formula>
    </cfRule>
  </conditionalFormatting>
  <conditionalFormatting sqref="F55">
    <cfRule type="cellIs" priority="24" dxfId="1" operator="equal" stopIfTrue="1">
      <formula>"Fail"</formula>
    </cfRule>
    <cfRule type="cellIs" priority="25" dxfId="2" operator="equal" stopIfTrue="1">
      <formula>"Pass"</formula>
    </cfRule>
  </conditionalFormatting>
  <conditionalFormatting sqref="F58">
    <cfRule type="cellIs" priority="26" dxfId="1" operator="equal" stopIfTrue="1">
      <formula>"Fail"</formula>
    </cfRule>
    <cfRule type="cellIs" priority="27" dxfId="2" operator="equal" stopIfTrue="1">
      <formula>"Pass"</formula>
    </cfRule>
  </conditionalFormatting>
  <conditionalFormatting sqref="F61">
    <cfRule type="cellIs" priority="28" dxfId="1" operator="equal" stopIfTrue="1">
      <formula>"Fail"</formula>
    </cfRule>
    <cfRule type="cellIs" priority="29" dxfId="2" operator="equal" stopIfTrue="1">
      <formula>"Pass"</formula>
    </cfRule>
  </conditionalFormatting>
  <conditionalFormatting sqref="F64">
    <cfRule type="cellIs" priority="30" dxfId="1" operator="equal" stopIfTrue="1">
      <formula>"Fail"</formula>
    </cfRule>
    <cfRule type="cellIs" priority="31" dxfId="2" operator="equal" stopIfTrue="1">
      <formula>"Pass"</formula>
    </cfRule>
  </conditionalFormatting>
  <conditionalFormatting sqref="F67">
    <cfRule type="cellIs" priority="32" dxfId="1" operator="equal" stopIfTrue="1">
      <formula>"Fail"</formula>
    </cfRule>
    <cfRule type="cellIs" priority="33" dxfId="2" operator="equal" stopIfTrue="1">
      <formula>"Pass"</formula>
    </cfRule>
  </conditionalFormatting>
  <conditionalFormatting sqref="F70">
    <cfRule type="cellIs" priority="34" dxfId="1" operator="equal" stopIfTrue="1">
      <formula>"Fail"</formula>
    </cfRule>
    <cfRule type="cellIs" priority="35" dxfId="2" operator="equal" stopIfTrue="1">
      <formula>"Pass"</formula>
    </cfRule>
  </conditionalFormatting>
  <conditionalFormatting sqref="F73">
    <cfRule type="cellIs" priority="36" dxfId="1" operator="equal" stopIfTrue="1">
      <formula>"Fail"</formula>
    </cfRule>
    <cfRule type="cellIs" priority="37" dxfId="2" operator="equal" stopIfTrue="1">
      <formula>"Pass"</formula>
    </cfRule>
  </conditionalFormatting>
  <conditionalFormatting sqref="F76">
    <cfRule type="cellIs" priority="38" dxfId="1" operator="equal" stopIfTrue="1">
      <formula>"Fail"</formula>
    </cfRule>
    <cfRule type="cellIs" priority="39" dxfId="2" operator="equal" stopIfTrue="1">
      <formula>"Pass"</formula>
    </cfRule>
  </conditionalFormatting>
  <conditionalFormatting sqref="F79">
    <cfRule type="cellIs" priority="40" dxfId="1" operator="equal" stopIfTrue="1">
      <formula>"Fail"</formula>
    </cfRule>
    <cfRule type="cellIs" priority="41" dxfId="2" operator="equal" stopIfTrue="1">
      <formula>"Pass"</formula>
    </cfRule>
  </conditionalFormatting>
  <conditionalFormatting sqref="F82">
    <cfRule type="cellIs" priority="42" dxfId="1" operator="equal" stopIfTrue="1">
      <formula>"Fail"</formula>
    </cfRule>
    <cfRule type="cellIs" priority="43" dxfId="2" operator="equal" stopIfTrue="1">
      <formula>"Pass"</formula>
    </cfRule>
  </conditionalFormatting>
  <conditionalFormatting sqref="F85">
    <cfRule type="cellIs" priority="44" dxfId="1" operator="equal" stopIfTrue="1">
      <formula>"Fail"</formula>
    </cfRule>
    <cfRule type="cellIs" priority="45" dxfId="2" operator="equal" stopIfTrue="1">
      <formula>"Pass"</formula>
    </cfRule>
  </conditionalFormatting>
  <conditionalFormatting sqref="F88">
    <cfRule type="cellIs" priority="46" dxfId="1" operator="equal" stopIfTrue="1">
      <formula>"Fail"</formula>
    </cfRule>
    <cfRule type="cellIs" priority="47" dxfId="2" operator="equal" stopIfTrue="1">
      <formula>"Pass"</formula>
    </cfRule>
  </conditionalFormatting>
  <conditionalFormatting sqref="F91">
    <cfRule type="cellIs" priority="48" dxfId="1" operator="equal" stopIfTrue="1">
      <formula>"Fail"</formula>
    </cfRule>
    <cfRule type="cellIs" priority="49" dxfId="2" operator="equal" stopIfTrue="1">
      <formula>"Pass"</formula>
    </cfRule>
  </conditionalFormatting>
  <conditionalFormatting sqref="F94">
    <cfRule type="cellIs" priority="50" dxfId="1" operator="equal" stopIfTrue="1">
      <formula>"Fail"</formula>
    </cfRule>
    <cfRule type="cellIs" priority="51" dxfId="2" operator="equal" stopIfTrue="1">
      <formula>"Pass"</formula>
    </cfRule>
  </conditionalFormatting>
  <conditionalFormatting sqref="F100">
    <cfRule type="cellIs" priority="52" dxfId="1" operator="equal" stopIfTrue="1">
      <formula>"Fail"</formula>
    </cfRule>
    <cfRule type="cellIs" priority="53" dxfId="2" operator="equal" stopIfTrue="1">
      <formula>"Pass"</formula>
    </cfRule>
  </conditionalFormatting>
  <conditionalFormatting sqref="F103">
    <cfRule type="cellIs" priority="54" dxfId="1" operator="equal" stopIfTrue="1">
      <formula>"Fail"</formula>
    </cfRule>
    <cfRule type="cellIs" priority="55" dxfId="2" operator="equal" stopIfTrue="1">
      <formula>"Pass"</formula>
    </cfRule>
  </conditionalFormatting>
  <conditionalFormatting sqref="F106">
    <cfRule type="cellIs" priority="56" dxfId="1" operator="equal" stopIfTrue="1">
      <formula>"Fail"</formula>
    </cfRule>
    <cfRule type="cellIs" priority="57" dxfId="2" operator="equal" stopIfTrue="1">
      <formula>"Pass"</formula>
    </cfRule>
  </conditionalFormatting>
  <conditionalFormatting sqref="F109">
    <cfRule type="cellIs" priority="58" dxfId="1" operator="equal" stopIfTrue="1">
      <formula>"Fail"</formula>
    </cfRule>
    <cfRule type="cellIs" priority="59" dxfId="2" operator="equal" stopIfTrue="1">
      <formula>"Pass"</formula>
    </cfRule>
  </conditionalFormatting>
  <conditionalFormatting sqref="F112">
    <cfRule type="cellIs" priority="60" dxfId="1" operator="equal" stopIfTrue="1">
      <formula>"Fail"</formula>
    </cfRule>
    <cfRule type="cellIs" priority="61" dxfId="2" operator="equal" stopIfTrue="1">
      <formula>"Pass"</formula>
    </cfRule>
  </conditionalFormatting>
  <conditionalFormatting sqref="F115">
    <cfRule type="cellIs" priority="62" dxfId="1" operator="equal" stopIfTrue="1">
      <formula>"Fail"</formula>
    </cfRule>
    <cfRule type="cellIs" priority="63" dxfId="2" operator="equal" stopIfTrue="1">
      <formula>"Pass"</formula>
    </cfRule>
  </conditionalFormatting>
  <conditionalFormatting sqref="F118">
    <cfRule type="cellIs" priority="64" dxfId="1" operator="equal" stopIfTrue="1">
      <formula>"Fail"</formula>
    </cfRule>
    <cfRule type="cellIs" priority="65" dxfId="2" operator="equal" stopIfTrue="1">
      <formula>"Pass"</formula>
    </cfRule>
  </conditionalFormatting>
  <conditionalFormatting sqref="F121">
    <cfRule type="cellIs" priority="66" dxfId="1" operator="equal" stopIfTrue="1">
      <formula>"Fail"</formula>
    </cfRule>
    <cfRule type="cellIs" priority="67" dxfId="2" operator="equal" stopIfTrue="1">
      <formula>"Pass"</formula>
    </cfRule>
  </conditionalFormatting>
  <conditionalFormatting sqref="F124">
    <cfRule type="cellIs" priority="68" dxfId="1" operator="equal" stopIfTrue="1">
      <formula>"Fail"</formula>
    </cfRule>
    <cfRule type="cellIs" priority="69" dxfId="2" operator="equal" stopIfTrue="1">
      <formula>"Pass"</formula>
    </cfRule>
  </conditionalFormatting>
  <conditionalFormatting sqref="F127">
    <cfRule type="cellIs" priority="70" dxfId="1" operator="equal" stopIfTrue="1">
      <formula>"Fail"</formula>
    </cfRule>
    <cfRule type="cellIs" priority="71" dxfId="2" operator="equal" stopIfTrue="1">
      <formula>"Pass"</formula>
    </cfRule>
  </conditionalFormatting>
  <conditionalFormatting sqref="F130">
    <cfRule type="cellIs" priority="72" dxfId="1" operator="equal" stopIfTrue="1">
      <formula>"Fail"</formula>
    </cfRule>
    <cfRule type="cellIs" priority="73" dxfId="2" operator="equal" stopIfTrue="1">
      <formula>"Pass"</formula>
    </cfRule>
  </conditionalFormatting>
  <conditionalFormatting sqref="F133">
    <cfRule type="cellIs" priority="74" dxfId="1" operator="equal" stopIfTrue="1">
      <formula>"Fail"</formula>
    </cfRule>
    <cfRule type="cellIs" priority="75" dxfId="2" operator="equal" stopIfTrue="1">
      <formula>"Pass"</formula>
    </cfRule>
  </conditionalFormatting>
  <conditionalFormatting sqref="F136">
    <cfRule type="cellIs" priority="76" dxfId="1" operator="equal" stopIfTrue="1">
      <formula>"Fail"</formula>
    </cfRule>
    <cfRule type="cellIs" priority="77" dxfId="2" operator="equal" stopIfTrue="1">
      <formula>"Pass"</formula>
    </cfRule>
  </conditionalFormatting>
  <conditionalFormatting sqref="F139">
    <cfRule type="cellIs" priority="78" dxfId="1" operator="equal" stopIfTrue="1">
      <formula>"Fail"</formula>
    </cfRule>
    <cfRule type="cellIs" priority="79" dxfId="2" operator="equal" stopIfTrue="1">
      <formula>"Pass"</formula>
    </cfRule>
  </conditionalFormatting>
  <conditionalFormatting sqref="F142">
    <cfRule type="cellIs" priority="80" dxfId="1" operator="equal" stopIfTrue="1">
      <formula>"Fail"</formula>
    </cfRule>
    <cfRule type="cellIs" priority="81" dxfId="2" operator="equal" stopIfTrue="1">
      <formula>"Pass"</formula>
    </cfRule>
  </conditionalFormatting>
  <conditionalFormatting sqref="F145">
    <cfRule type="cellIs" priority="82" dxfId="1" operator="equal" stopIfTrue="1">
      <formula>"Fail"</formula>
    </cfRule>
    <cfRule type="cellIs" priority="83" dxfId="2" operator="equal" stopIfTrue="1">
      <formula>"Pass"</formula>
    </cfRule>
  </conditionalFormatting>
  <conditionalFormatting sqref="F148">
    <cfRule type="cellIs" priority="84" dxfId="1" operator="equal" stopIfTrue="1">
      <formula>"Fail"</formula>
    </cfRule>
    <cfRule type="cellIs" priority="85" dxfId="2" operator="equal" stopIfTrue="1">
      <formula>"Pass"</formula>
    </cfRule>
  </conditionalFormatting>
  <conditionalFormatting sqref="F151">
    <cfRule type="cellIs" priority="86" dxfId="1" operator="equal" stopIfTrue="1">
      <formula>"Fail"</formula>
    </cfRule>
    <cfRule type="cellIs" priority="87" dxfId="2" operator="equal" stopIfTrue="1">
      <formula>"Pass"</formula>
    </cfRule>
  </conditionalFormatting>
  <conditionalFormatting sqref="F154">
    <cfRule type="cellIs" priority="88" dxfId="1" operator="equal" stopIfTrue="1">
      <formula>"Fail"</formula>
    </cfRule>
    <cfRule type="cellIs" priority="89" dxfId="2" operator="equal" stopIfTrue="1">
      <formula>"Pass"</formula>
    </cfRule>
  </conditionalFormatting>
  <conditionalFormatting sqref="F157">
    <cfRule type="cellIs" priority="90" dxfId="1" operator="equal" stopIfTrue="1">
      <formula>"Fail"</formula>
    </cfRule>
    <cfRule type="cellIs" priority="91" dxfId="2" operator="equal" stopIfTrue="1">
      <formula>"Pass"</formula>
    </cfRule>
  </conditionalFormatting>
  <conditionalFormatting sqref="F160">
    <cfRule type="cellIs" priority="92" dxfId="1" operator="equal" stopIfTrue="1">
      <formula>"Fail"</formula>
    </cfRule>
    <cfRule type="cellIs" priority="93" dxfId="2" operator="equal" stopIfTrue="1">
      <formula>"Pass"</formula>
    </cfRule>
  </conditionalFormatting>
  <conditionalFormatting sqref="F163">
    <cfRule type="cellIs" priority="94" dxfId="1" operator="equal" stopIfTrue="1">
      <formula>"Fail"</formula>
    </cfRule>
    <cfRule type="cellIs" priority="95" dxfId="2" operator="equal" stopIfTrue="1">
      <formula>"Pass"</formula>
    </cfRule>
  </conditionalFormatting>
  <conditionalFormatting sqref="F166">
    <cfRule type="cellIs" priority="96" dxfId="1" operator="equal" stopIfTrue="1">
      <formula>"Fail"</formula>
    </cfRule>
    <cfRule type="cellIs" priority="97" dxfId="2" operator="equal" stopIfTrue="1">
      <formula>"Pass"</formula>
    </cfRule>
  </conditionalFormatting>
  <conditionalFormatting sqref="F169">
    <cfRule type="cellIs" priority="98" dxfId="1" operator="equal" stopIfTrue="1">
      <formula>"Fail"</formula>
    </cfRule>
    <cfRule type="cellIs" priority="99" dxfId="2" operator="equal" stopIfTrue="1">
      <formula>"Pass"</formula>
    </cfRule>
  </conditionalFormatting>
  <conditionalFormatting sqref="F172">
    <cfRule type="cellIs" priority="100" dxfId="1" operator="equal" stopIfTrue="1">
      <formula>"Fail"</formula>
    </cfRule>
    <cfRule type="cellIs" priority="101" dxfId="2" operator="equal" stopIfTrue="1">
      <formula>"Pass"</formula>
    </cfRule>
  </conditionalFormatting>
  <conditionalFormatting sqref="F175">
    <cfRule type="cellIs" priority="102" dxfId="1" operator="equal" stopIfTrue="1">
      <formula>"Fail"</formula>
    </cfRule>
    <cfRule type="cellIs" priority="103" dxfId="2" operator="equal" stopIfTrue="1">
      <formula>"Pass"</formula>
    </cfRule>
  </conditionalFormatting>
  <conditionalFormatting sqref="F178">
    <cfRule type="cellIs" priority="104" dxfId="1" operator="equal" stopIfTrue="1">
      <formula>"Fail"</formula>
    </cfRule>
    <cfRule type="cellIs" priority="105" dxfId="2" operator="equal" stopIfTrue="1">
      <formula>"Pass"</formula>
    </cfRule>
  </conditionalFormatting>
  <conditionalFormatting sqref="F181">
    <cfRule type="cellIs" priority="106" dxfId="1" operator="equal" stopIfTrue="1">
      <formula>"Fail"</formula>
    </cfRule>
    <cfRule type="cellIs" priority="107" dxfId="2" operator="equal" stopIfTrue="1">
      <formula>"Pass"</formula>
    </cfRule>
  </conditionalFormatting>
  <conditionalFormatting sqref="F184">
    <cfRule type="cellIs" priority="108" dxfId="1" operator="equal" stopIfTrue="1">
      <formula>"Fail"</formula>
    </cfRule>
    <cfRule type="cellIs" priority="109" dxfId="2" operator="equal" stopIfTrue="1">
      <formula>"Pass"</formula>
    </cfRule>
  </conditionalFormatting>
  <conditionalFormatting sqref="F187">
    <cfRule type="cellIs" priority="110" dxfId="1" operator="equal" stopIfTrue="1">
      <formula>"Fail"</formula>
    </cfRule>
    <cfRule type="cellIs" priority="111" dxfId="2" operator="equal" stopIfTrue="1">
      <formula>"Pass"</formula>
    </cfRule>
  </conditionalFormatting>
  <conditionalFormatting sqref="F190">
    <cfRule type="cellIs" priority="112" dxfId="1" operator="equal" stopIfTrue="1">
      <formula>"Fail"</formula>
    </cfRule>
    <cfRule type="cellIs" priority="113" dxfId="2" operator="equal" stopIfTrue="1">
      <formula>"Pass"</formula>
    </cfRule>
  </conditionalFormatting>
  <conditionalFormatting sqref="F193">
    <cfRule type="cellIs" priority="114" dxfId="1" operator="equal" stopIfTrue="1">
      <formula>"Fail"</formula>
    </cfRule>
    <cfRule type="cellIs" priority="115" dxfId="2" operator="equal" stopIfTrue="1">
      <formula>"Pass"</formula>
    </cfRule>
  </conditionalFormatting>
  <conditionalFormatting sqref="F196">
    <cfRule type="cellIs" priority="116" dxfId="1" operator="equal" stopIfTrue="1">
      <formula>"Fail"</formula>
    </cfRule>
    <cfRule type="cellIs" priority="117" dxfId="2" operator="equal" stopIfTrue="1">
      <formula>"Pass"</formula>
    </cfRule>
  </conditionalFormatting>
  <conditionalFormatting sqref="F199">
    <cfRule type="cellIs" priority="118" dxfId="1" operator="equal" stopIfTrue="1">
      <formula>"Fail"</formula>
    </cfRule>
    <cfRule type="cellIs" priority="119" dxfId="2" operator="equal" stopIfTrue="1">
      <formula>"Pass"</formula>
    </cfRule>
  </conditionalFormatting>
  <conditionalFormatting sqref="F202">
    <cfRule type="cellIs" priority="120" dxfId="1" operator="equal" stopIfTrue="1">
      <formula>"Fail"</formula>
    </cfRule>
    <cfRule type="cellIs" priority="121" dxfId="2" operator="equal" stopIfTrue="1">
      <formula>"Pass"</formula>
    </cfRule>
  </conditionalFormatting>
  <conditionalFormatting sqref="F205">
    <cfRule type="cellIs" priority="122" dxfId="1" operator="equal" stopIfTrue="1">
      <formula>"Fail"</formula>
    </cfRule>
    <cfRule type="cellIs" priority="123" dxfId="2" operator="equal" stopIfTrue="1">
      <formula>"Pass"</formula>
    </cfRule>
  </conditionalFormatting>
  <conditionalFormatting sqref="F208">
    <cfRule type="cellIs" priority="124" dxfId="1" operator="equal" stopIfTrue="1">
      <formula>"Fail"</formula>
    </cfRule>
    <cfRule type="cellIs" priority="125" dxfId="2" operator="equal" stopIfTrue="1">
      <formula>"Pass"</formula>
    </cfRule>
  </conditionalFormatting>
  <conditionalFormatting sqref="F211">
    <cfRule type="cellIs" priority="126" dxfId="1" operator="equal" stopIfTrue="1">
      <formula>"Fail"</formula>
    </cfRule>
    <cfRule type="cellIs" priority="127" dxfId="2" operator="equal" stopIfTrue="1">
      <formula>"Pass"</formula>
    </cfRule>
  </conditionalFormatting>
  <conditionalFormatting sqref="F214">
    <cfRule type="cellIs" priority="128" dxfId="1" operator="equal" stopIfTrue="1">
      <formula>"Fail"</formula>
    </cfRule>
    <cfRule type="cellIs" priority="129" dxfId="2" operator="equal" stopIfTrue="1">
      <formula>"Pass"</formula>
    </cfRule>
  </conditionalFormatting>
  <conditionalFormatting sqref="F217">
    <cfRule type="cellIs" priority="130" dxfId="1" operator="equal" stopIfTrue="1">
      <formula>"Fail"</formula>
    </cfRule>
    <cfRule type="cellIs" priority="131" dxfId="2" operator="equal" stopIfTrue="1">
      <formula>"Pass"</formula>
    </cfRule>
  </conditionalFormatting>
  <conditionalFormatting sqref="F220">
    <cfRule type="cellIs" priority="132" dxfId="1" operator="equal" stopIfTrue="1">
      <formula>"Fail"</formula>
    </cfRule>
    <cfRule type="cellIs" priority="133" dxfId="2" operator="equal" stopIfTrue="1">
      <formula>"Pass"</formula>
    </cfRule>
  </conditionalFormatting>
  <conditionalFormatting sqref="F223">
    <cfRule type="cellIs" priority="134" dxfId="1" operator="equal" stopIfTrue="1">
      <formula>"Fail"</formula>
    </cfRule>
    <cfRule type="cellIs" priority="135" dxfId="2" operator="equal" stopIfTrue="1">
      <formula>"Pass"</formula>
    </cfRule>
  </conditionalFormatting>
  <conditionalFormatting sqref="F226">
    <cfRule type="cellIs" priority="136" dxfId="1" operator="equal" stopIfTrue="1">
      <formula>"Fail"</formula>
    </cfRule>
    <cfRule type="cellIs" priority="137" dxfId="2" operator="equal" stopIfTrue="1">
      <formula>"Pass"</formula>
    </cfRule>
  </conditionalFormatting>
  <conditionalFormatting sqref="F229">
    <cfRule type="cellIs" priority="138" dxfId="1" operator="equal" stopIfTrue="1">
      <formula>"Fail"</formula>
    </cfRule>
    <cfRule type="cellIs" priority="139" dxfId="2" operator="equal" stopIfTrue="1">
      <formula>"Pass"</formula>
    </cfRule>
  </conditionalFormatting>
  <conditionalFormatting sqref="F232">
    <cfRule type="cellIs" priority="140" dxfId="1" operator="equal" stopIfTrue="1">
      <formula>"Fail"</formula>
    </cfRule>
    <cfRule type="cellIs" priority="141" dxfId="2" operator="equal" stopIfTrue="1">
      <formula>"Pass"</formula>
    </cfRule>
  </conditionalFormatting>
  <conditionalFormatting sqref="F235">
    <cfRule type="cellIs" priority="142" dxfId="1" operator="equal" stopIfTrue="1">
      <formula>"Fail"</formula>
    </cfRule>
    <cfRule type="cellIs" priority="143" dxfId="2" operator="equal" stopIfTrue="1">
      <formula>"Pass"</formula>
    </cfRule>
  </conditionalFormatting>
  <conditionalFormatting sqref="F238">
    <cfRule type="cellIs" priority="144" dxfId="1" operator="equal" stopIfTrue="1">
      <formula>"Fail"</formula>
    </cfRule>
    <cfRule type="cellIs" priority="145" dxfId="2" operator="equal" stopIfTrue="1">
      <formula>"Pass"</formula>
    </cfRule>
  </conditionalFormatting>
  <conditionalFormatting sqref="F241">
    <cfRule type="cellIs" priority="146" dxfId="1" operator="equal" stopIfTrue="1">
      <formula>"Fail"</formula>
    </cfRule>
    <cfRule type="cellIs" priority="147" dxfId="2" operator="equal" stopIfTrue="1">
      <formula>"Pass"</formula>
    </cfRule>
  </conditionalFormatting>
  <conditionalFormatting sqref="F244">
    <cfRule type="cellIs" priority="148" dxfId="1" operator="equal" stopIfTrue="1">
      <formula>"Fail"</formula>
    </cfRule>
    <cfRule type="cellIs" priority="149" dxfId="2" operator="equal" stopIfTrue="1">
      <formula>"Pass"</formula>
    </cfRule>
  </conditionalFormatting>
  <conditionalFormatting sqref="F247">
    <cfRule type="cellIs" priority="150" dxfId="1" operator="equal" stopIfTrue="1">
      <formula>"Fail"</formula>
    </cfRule>
    <cfRule type="cellIs" priority="151" dxfId="2" operator="equal" stopIfTrue="1">
      <formula>"Pass"</formula>
    </cfRule>
  </conditionalFormatting>
  <conditionalFormatting sqref="F250">
    <cfRule type="cellIs" priority="152" dxfId="1" operator="equal" stopIfTrue="1">
      <formula>"Fail"</formula>
    </cfRule>
    <cfRule type="cellIs" priority="153" dxfId="2" operator="equal" stopIfTrue="1">
      <formula>"Pass"</formula>
    </cfRule>
  </conditionalFormatting>
  <conditionalFormatting sqref="F253">
    <cfRule type="cellIs" priority="154" dxfId="1" operator="equal" stopIfTrue="1">
      <formula>"Fail"</formula>
    </cfRule>
    <cfRule type="cellIs" priority="155" dxfId="2" operator="equal" stopIfTrue="1">
      <formula>"Pass"</formula>
    </cfRule>
  </conditionalFormatting>
  <conditionalFormatting sqref="F256">
    <cfRule type="cellIs" priority="156" dxfId="1" operator="equal" stopIfTrue="1">
      <formula>"Fail"</formula>
    </cfRule>
    <cfRule type="cellIs" priority="157" dxfId="2" operator="equal" stopIfTrue="1">
      <formula>"Pass"</formula>
    </cfRule>
  </conditionalFormatting>
  <conditionalFormatting sqref="F262">
    <cfRule type="cellIs" priority="158" dxfId="1" operator="equal" stopIfTrue="1">
      <formula>"Fail"</formula>
    </cfRule>
    <cfRule type="cellIs" priority="159" dxfId="2" operator="equal" stopIfTrue="1">
      <formula>"Pass"</formula>
    </cfRule>
  </conditionalFormatting>
  <conditionalFormatting sqref="F265">
    <cfRule type="cellIs" priority="160" dxfId="1" operator="equal" stopIfTrue="1">
      <formula>"Fail"</formula>
    </cfRule>
    <cfRule type="cellIs" priority="161" dxfId="2" operator="equal" stopIfTrue="1">
      <formula>"Pass"</formula>
    </cfRule>
  </conditionalFormatting>
  <conditionalFormatting sqref="F268">
    <cfRule type="cellIs" priority="162" dxfId="1" operator="equal" stopIfTrue="1">
      <formula>"Fail"</formula>
    </cfRule>
    <cfRule type="cellIs" priority="163" dxfId="2" operator="equal" stopIfTrue="1">
      <formula>"Pass"</formula>
    </cfRule>
  </conditionalFormatting>
  <conditionalFormatting sqref="F271">
    <cfRule type="cellIs" priority="164" dxfId="1" operator="equal" stopIfTrue="1">
      <formula>"Fail"</formula>
    </cfRule>
    <cfRule type="cellIs" priority="165" dxfId="2" operator="equal" stopIfTrue="1">
      <formula>"Pass"</formula>
    </cfRule>
  </conditionalFormatting>
  <conditionalFormatting sqref="F274">
    <cfRule type="cellIs" priority="166" dxfId="1" operator="equal" stopIfTrue="1">
      <formula>"Fail"</formula>
    </cfRule>
    <cfRule type="cellIs" priority="167" dxfId="2" operator="equal" stopIfTrue="1">
      <formula>"Pass"</formula>
    </cfRule>
  </conditionalFormatting>
  <conditionalFormatting sqref="F277">
    <cfRule type="cellIs" priority="168" dxfId="1" operator="equal" stopIfTrue="1">
      <formula>"Fail"</formula>
    </cfRule>
    <cfRule type="cellIs" priority="169" dxfId="2" operator="equal" stopIfTrue="1">
      <formula>"Pass"</formula>
    </cfRule>
  </conditionalFormatting>
  <conditionalFormatting sqref="F280">
    <cfRule type="cellIs" priority="170" dxfId="1" operator="equal" stopIfTrue="1">
      <formula>"Fail"</formula>
    </cfRule>
    <cfRule type="cellIs" priority="171" dxfId="2" operator="equal" stopIfTrue="1">
      <formula>"Pass"</formula>
    </cfRule>
  </conditionalFormatting>
  <conditionalFormatting sqref="F283">
    <cfRule type="cellIs" priority="172" dxfId="1" operator="equal" stopIfTrue="1">
      <formula>"Fail"</formula>
    </cfRule>
    <cfRule type="cellIs" priority="173" dxfId="2" operator="equal" stopIfTrue="1">
      <formula>"Pass"</formula>
    </cfRule>
  </conditionalFormatting>
  <conditionalFormatting sqref="F286">
    <cfRule type="cellIs" priority="174" dxfId="1" operator="equal" stopIfTrue="1">
      <formula>"Fail"</formula>
    </cfRule>
    <cfRule type="cellIs" priority="175" dxfId="2" operator="equal" stopIfTrue="1">
      <formula>"Pass"</formula>
    </cfRule>
  </conditionalFormatting>
  <conditionalFormatting sqref="F289">
    <cfRule type="cellIs" priority="176" dxfId="1" operator="equal" stopIfTrue="1">
      <formula>"Fail"</formula>
    </cfRule>
    <cfRule type="cellIs" priority="177" dxfId="2" operator="equal" stopIfTrue="1">
      <formula>"Pass"</formula>
    </cfRule>
  </conditionalFormatting>
  <conditionalFormatting sqref="F292">
    <cfRule type="cellIs" priority="178" dxfId="1" operator="equal" stopIfTrue="1">
      <formula>"Fail"</formula>
    </cfRule>
    <cfRule type="cellIs" priority="179" dxfId="2" operator="equal" stopIfTrue="1">
      <formula>"Pass"</formula>
    </cfRule>
  </conditionalFormatting>
  <conditionalFormatting sqref="F295">
    <cfRule type="cellIs" priority="180" dxfId="1" operator="equal" stopIfTrue="1">
      <formula>"Fail"</formula>
    </cfRule>
    <cfRule type="cellIs" priority="181" dxfId="2" operator="equal" stopIfTrue="1">
      <formula>"Pass"</formula>
    </cfRule>
  </conditionalFormatting>
  <conditionalFormatting sqref="F298">
    <cfRule type="cellIs" priority="182" dxfId="1" operator="equal" stopIfTrue="1">
      <formula>"Fail"</formula>
    </cfRule>
    <cfRule type="cellIs" priority="183" dxfId="2" operator="equal" stopIfTrue="1">
      <formula>"Pass"</formula>
    </cfRule>
  </conditionalFormatting>
  <conditionalFormatting sqref="F301">
    <cfRule type="cellIs" priority="184" dxfId="1" operator="equal" stopIfTrue="1">
      <formula>"Fail"</formula>
    </cfRule>
    <cfRule type="cellIs" priority="185" dxfId="2" operator="equal" stopIfTrue="1">
      <formula>"Pass"</formula>
    </cfRule>
  </conditionalFormatting>
  <conditionalFormatting sqref="F304">
    <cfRule type="cellIs" priority="186" dxfId="1" operator="equal" stopIfTrue="1">
      <formula>"Fail"</formula>
    </cfRule>
    <cfRule type="cellIs" priority="187" dxfId="2" operator="equal" stopIfTrue="1">
      <formula>"Pass"</formula>
    </cfRule>
  </conditionalFormatting>
  <conditionalFormatting sqref="F307">
    <cfRule type="cellIs" priority="188" dxfId="1" operator="equal" stopIfTrue="1">
      <formula>"Fail"</formula>
    </cfRule>
    <cfRule type="cellIs" priority="189" dxfId="2" operator="equal" stopIfTrue="1">
      <formula>"Pass"</formula>
    </cfRule>
  </conditionalFormatting>
  <conditionalFormatting sqref="F310">
    <cfRule type="cellIs" priority="190" dxfId="1" operator="equal" stopIfTrue="1">
      <formula>"Fail"</formula>
    </cfRule>
    <cfRule type="cellIs" priority="191" dxfId="2" operator="equal" stopIfTrue="1">
      <formula>"Pass"</formula>
    </cfRule>
  </conditionalFormatting>
  <conditionalFormatting sqref="F313">
    <cfRule type="cellIs" priority="192" dxfId="1" operator="equal" stopIfTrue="1">
      <formula>"Fail"</formula>
    </cfRule>
    <cfRule type="cellIs" priority="193" dxfId="2" operator="equal" stopIfTrue="1">
      <formula>"Pass"</formula>
    </cfRule>
  </conditionalFormatting>
  <conditionalFormatting sqref="F316">
    <cfRule type="cellIs" priority="194" dxfId="1" operator="equal" stopIfTrue="1">
      <formula>"Fail"</formula>
    </cfRule>
    <cfRule type="cellIs" priority="195" dxfId="2" operator="equal" stopIfTrue="1">
      <formula>"Pass"</formula>
    </cfRule>
  </conditionalFormatting>
  <conditionalFormatting sqref="F319">
    <cfRule type="cellIs" priority="196" dxfId="1" operator="equal" stopIfTrue="1">
      <formula>"Fail"</formula>
    </cfRule>
    <cfRule type="cellIs" priority="197" dxfId="2" operator="equal" stopIfTrue="1">
      <formula>"Pass"</formula>
    </cfRule>
  </conditionalFormatting>
  <conditionalFormatting sqref="F322">
    <cfRule type="cellIs" priority="198" dxfId="1" operator="equal" stopIfTrue="1">
      <formula>"Fail"</formula>
    </cfRule>
    <cfRule type="cellIs" priority="199" dxfId="2" operator="equal" stopIfTrue="1">
      <formula>"Pass"</formula>
    </cfRule>
  </conditionalFormatting>
  <conditionalFormatting sqref="F325">
    <cfRule type="cellIs" priority="200" dxfId="1" operator="equal" stopIfTrue="1">
      <formula>"Fail"</formula>
    </cfRule>
    <cfRule type="cellIs" priority="201" dxfId="2" operator="equal" stopIfTrue="1">
      <formula>"Pass"</formula>
    </cfRule>
  </conditionalFormatting>
  <conditionalFormatting sqref="F328">
    <cfRule type="cellIs" priority="202" dxfId="1" operator="equal" stopIfTrue="1">
      <formula>"Fail"</formula>
    </cfRule>
    <cfRule type="cellIs" priority="203" dxfId="2" operator="equal" stopIfTrue="1">
      <formula>"Pass"</formula>
    </cfRule>
  </conditionalFormatting>
  <conditionalFormatting sqref="F331">
    <cfRule type="cellIs" priority="204" dxfId="1" operator="equal" stopIfTrue="1">
      <formula>"Fail"</formula>
    </cfRule>
    <cfRule type="cellIs" priority="205" dxfId="2" operator="equal" stopIfTrue="1">
      <formula>"Pass"</formula>
    </cfRule>
  </conditionalFormatting>
  <conditionalFormatting sqref="F334">
    <cfRule type="cellIs" priority="206" dxfId="1" operator="equal" stopIfTrue="1">
      <formula>"Fail"</formula>
    </cfRule>
    <cfRule type="cellIs" priority="207" dxfId="2" operator="equal" stopIfTrue="1">
      <formula>"Pass"</formula>
    </cfRule>
  </conditionalFormatting>
  <conditionalFormatting sqref="F337">
    <cfRule type="cellIs" priority="208" dxfId="1" operator="equal" stopIfTrue="1">
      <formula>"Fail"</formula>
    </cfRule>
    <cfRule type="cellIs" priority="209" dxfId="2" operator="equal" stopIfTrue="1">
      <formula>"Pass"</formula>
    </cfRule>
  </conditionalFormatting>
  <conditionalFormatting sqref="F340">
    <cfRule type="cellIs" priority="210" dxfId="1" operator="equal" stopIfTrue="1">
      <formula>"Fail"</formula>
    </cfRule>
    <cfRule type="cellIs" priority="211" dxfId="2" operator="equal" stopIfTrue="1">
      <formula>"Pass"</formula>
    </cfRule>
  </conditionalFormatting>
  <conditionalFormatting sqref="F343">
    <cfRule type="cellIs" priority="212" dxfId="1" operator="equal" stopIfTrue="1">
      <formula>"Fail"</formula>
    </cfRule>
    <cfRule type="cellIs" priority="213" dxfId="2" operator="equal" stopIfTrue="1">
      <formula>"Pass"</formula>
    </cfRule>
  </conditionalFormatting>
  <conditionalFormatting sqref="F346">
    <cfRule type="cellIs" priority="214" dxfId="1" operator="equal" stopIfTrue="1">
      <formula>"Fail"</formula>
    </cfRule>
    <cfRule type="cellIs" priority="215" dxfId="2" operator="equal" stopIfTrue="1">
      <formula>"Pass"</formula>
    </cfRule>
  </conditionalFormatting>
  <conditionalFormatting sqref="F349">
    <cfRule type="cellIs" priority="216" dxfId="1" operator="equal" stopIfTrue="1">
      <formula>"Fail"</formula>
    </cfRule>
    <cfRule type="cellIs" priority="217" dxfId="2" operator="equal" stopIfTrue="1">
      <formula>"Pass"</formula>
    </cfRule>
  </conditionalFormatting>
  <conditionalFormatting sqref="F352">
    <cfRule type="cellIs" priority="218" dxfId="1" operator="equal" stopIfTrue="1">
      <formula>"Fail"</formula>
    </cfRule>
    <cfRule type="cellIs" priority="219" dxfId="2" operator="equal" stopIfTrue="1">
      <formula>"Pass"</formula>
    </cfRule>
  </conditionalFormatting>
  <conditionalFormatting sqref="F355">
    <cfRule type="cellIs" priority="220" dxfId="1" operator="equal" stopIfTrue="1">
      <formula>"Fail"</formula>
    </cfRule>
    <cfRule type="cellIs" priority="221" dxfId="2" operator="equal" stopIfTrue="1">
      <formula>"Pass"</formula>
    </cfRule>
  </conditionalFormatting>
  <conditionalFormatting sqref="F358">
    <cfRule type="cellIs" priority="222" dxfId="1" operator="equal" stopIfTrue="1">
      <formula>"Fail"</formula>
    </cfRule>
    <cfRule type="cellIs" priority="223" dxfId="2" operator="equal" stopIfTrue="1">
      <formula>"Pass"</formula>
    </cfRule>
  </conditionalFormatting>
  <conditionalFormatting sqref="F361">
    <cfRule type="cellIs" priority="224" dxfId="1" operator="equal" stopIfTrue="1">
      <formula>"Fail"</formula>
    </cfRule>
    <cfRule type="cellIs" priority="225" dxfId="2" operator="equal" stopIfTrue="1">
      <formula>"Pass"</formula>
    </cfRule>
  </conditionalFormatting>
  <conditionalFormatting sqref="F364">
    <cfRule type="cellIs" priority="226" dxfId="1" operator="equal" stopIfTrue="1">
      <formula>"Fail"</formula>
    </cfRule>
    <cfRule type="cellIs" priority="227" dxfId="2" operator="equal" stopIfTrue="1">
      <formula>"Pass"</formula>
    </cfRule>
  </conditionalFormatting>
  <conditionalFormatting sqref="F367">
    <cfRule type="cellIs" priority="228" dxfId="1" operator="equal" stopIfTrue="1">
      <formula>"Fail"</formula>
    </cfRule>
    <cfRule type="cellIs" priority="229" dxfId="2" operator="equal" stopIfTrue="1">
      <formula>"Pass"</formula>
    </cfRule>
  </conditionalFormatting>
  <conditionalFormatting sqref="F370">
    <cfRule type="cellIs" priority="230" dxfId="1" operator="equal" stopIfTrue="1">
      <formula>"Fail"</formula>
    </cfRule>
    <cfRule type="cellIs" priority="231" dxfId="2" operator="equal" stopIfTrue="1">
      <formula>"Pass"</formula>
    </cfRule>
  </conditionalFormatting>
  <conditionalFormatting sqref="F373">
    <cfRule type="cellIs" priority="232" dxfId="1" operator="equal" stopIfTrue="1">
      <formula>"Fail"</formula>
    </cfRule>
    <cfRule type="cellIs" priority="233" dxfId="2" operator="equal" stopIfTrue="1">
      <formula>"Pass"</formula>
    </cfRule>
  </conditionalFormatting>
  <conditionalFormatting sqref="F376">
    <cfRule type="cellIs" priority="234" dxfId="1" operator="equal" stopIfTrue="1">
      <formula>"Fail"</formula>
    </cfRule>
    <cfRule type="cellIs" priority="235" dxfId="2" operator="equal" stopIfTrue="1">
      <formula>"Pass"</formula>
    </cfRule>
  </conditionalFormatting>
  <conditionalFormatting sqref="F379">
    <cfRule type="cellIs" priority="236" dxfId="1" operator="equal" stopIfTrue="1">
      <formula>"Fail"</formula>
    </cfRule>
    <cfRule type="cellIs" priority="237" dxfId="2" operator="equal" stopIfTrue="1">
      <formula>"Pass"</formula>
    </cfRule>
  </conditionalFormatting>
  <conditionalFormatting sqref="F382">
    <cfRule type="cellIs" priority="238" dxfId="1" operator="equal" stopIfTrue="1">
      <formula>"Fail"</formula>
    </cfRule>
    <cfRule type="cellIs" priority="239" dxfId="2" operator="equal" stopIfTrue="1">
      <formula>"Pass"</formula>
    </cfRule>
  </conditionalFormatting>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G72"/>
  <sheetViews>
    <sheetView showRowColHeaders="0" tabSelected="1" workbookViewId="0" topLeftCell="A1">
      <selection pane="topLeft" activeCell="B2" sqref="B2"/>
    </sheetView>
  </sheetViews>
  <sheetFormatPr defaultColWidth="0" defaultRowHeight="0" customHeight="1"/>
  <cols>
    <col min="1" max="1" width="7.14285714285714" customWidth="1"/>
    <col min="2" max="2" width="2.85714285714286" customWidth="1"/>
    <col min="3" max="3" width="28.5714285714286" customWidth="1"/>
    <col min="4" max="4" width="2.57142857142857" customWidth="1"/>
    <col min="5" max="5" width="100" customWidth="1"/>
    <col min="6" max="6" width="2.85714285714286" customWidth="1"/>
    <col min="7" max="7" width="7.14285714285714" customWidth="1"/>
  </cols>
  <sheetData>
    <row r="1" spans="1:7" ht="37.5" customHeight="1">
      <c r="A1" s="23">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23"/>
      <c r="C1" s="23"/>
      <c r="D1" s="23"/>
      <c r="E1" s="23"/>
      <c r="F1" s="23"/>
      <c r="G1" s="23"/>
    </row>
    <row r="2" spans="1:7" ht="15" customHeight="1">
      <c r="A2" s="22"/>
      <c r="B2" s="25"/>
      <c r="C2" s="26"/>
      <c r="D2" s="24"/>
      <c r="E2" s="24"/>
      <c r="F2" s="25"/>
      <c r="G2" s="22"/>
    </row>
    <row r="3" spans="1:7" ht="15" customHeight="1">
      <c r="A3" s="22"/>
      <c r="B3" s="25"/>
      <c r="C3" s="24"/>
      <c r="D3" s="24"/>
      <c r="E3" s="24"/>
      <c r="F3" s="25"/>
      <c r="G3" s="22"/>
    </row>
    <row r="4" spans="1:7" ht="15" customHeight="1">
      <c r="A4" s="22"/>
      <c r="B4" s="25"/>
      <c r="C4" s="24"/>
      <c r="D4" s="24"/>
      <c r="E4" s="24"/>
      <c r="F4" s="25"/>
      <c r="G4" s="22"/>
    </row>
    <row r="5" spans="1:7" ht="15" customHeight="1">
      <c r="A5" s="22"/>
      <c r="B5" s="25"/>
      <c r="C5" s="24"/>
      <c r="D5" s="24"/>
      <c r="E5" s="24"/>
      <c r="F5" s="25"/>
      <c r="G5" s="22"/>
    </row>
    <row r="6" spans="1:7" ht="15" customHeight="1">
      <c r="A6" s="22"/>
      <c r="B6" s="25"/>
      <c r="C6" s="24"/>
      <c r="D6" s="24"/>
      <c r="E6" s="24"/>
      <c r="F6" s="25"/>
      <c r="G6" s="22"/>
    </row>
    <row r="7" spans="1:7" ht="15" customHeight="1">
      <c r="A7" s="22"/>
      <c r="B7" s="25"/>
      <c r="C7" s="26"/>
      <c r="D7" s="24"/>
      <c r="E7" s="24"/>
      <c r="F7" s="25"/>
      <c r="G7" s="22"/>
    </row>
    <row r="8" spans="1:7" ht="15" hidden="1">
      <c r="A8" s="22"/>
      <c r="B8" s="25"/>
      <c r="C8" s="27"/>
      <c r="D8" s="24"/>
      <c r="E8" s="24"/>
      <c r="F8" s="25"/>
      <c r="G8" s="22"/>
    </row>
    <row r="9" spans="1:7" ht="26.25">
      <c r="A9" s="22"/>
      <c r="B9" s="25"/>
      <c r="C9" s="28">
        <f>""&amp;IFERROR(INDEX({"2020"},MATCH(Welcome!C12,{"FY: 2020"},0)),"SELECT A FISCAL YEAR")&amp;" Profitability and Operating Performance Survey"</f>
      </c>
      <c r="D9" s="24"/>
      <c r="E9" s="24"/>
      <c r="F9" s="25"/>
      <c r="G9" s="22"/>
    </row>
    <row r="10" spans="1:7" ht="15" customHeight="1">
      <c r="A10" s="22"/>
      <c r="B10" s="25"/>
      <c r="C10" s="27"/>
      <c r="D10" s="24"/>
      <c r="E10" s="24"/>
      <c r="F10" s="25"/>
      <c r="G10" s="22"/>
    </row>
    <row r="11" spans="1:7" ht="15" hidden="1" thickBot="1">
      <c r="A11" s="22"/>
      <c r="B11" s="25"/>
      <c r="C11" s="34"/>
      <c r="D11" s="24"/>
      <c r="E11" s="24"/>
      <c r="F11" s="25"/>
      <c r="G11" s="22"/>
    </row>
    <row r="12" spans="1:7" ht="15.75" hidden="1" thickBot="1">
      <c r="A12" s="22"/>
      <c r="B12" s="25"/>
      <c r="C12" s="44" t="s">
        <v>0</v>
      </c>
      <c r="D12" s="12">
        <f>HYPERLINK("#C12",CHAR(128))</f>
      </c>
      <c r="E12" s="24"/>
      <c r="F12" s="25"/>
      <c r="G12" s="22"/>
    </row>
    <row r="13" spans="1:7" ht="15" customHeight="1">
      <c r="A13" s="22"/>
      <c r="B13" s="25"/>
      <c r="C13" s="29"/>
      <c r="D13" s="24"/>
      <c r="E13" s="24"/>
      <c r="F13" s="25"/>
      <c r="G13" s="22"/>
    </row>
    <row r="14" spans="1:7" ht="15" hidden="1">
      <c r="A14" s="22"/>
      <c r="B14" s="25"/>
      <c r="C14" s="36"/>
      <c r="D14" s="24"/>
      <c r="E14" s="24"/>
      <c r="F14" s="25"/>
      <c r="G14" s="22"/>
    </row>
    <row r="15" spans="1:7" ht="15" hidden="1">
      <c r="A15" s="22"/>
      <c r="B15" s="25"/>
      <c r="C15" s="37"/>
      <c r="D15" s="24"/>
      <c r="E15" s="24"/>
      <c r="F15" s="25"/>
      <c r="G15" s="22"/>
    </row>
    <row r="16" spans="1:7" ht="15" hidden="1">
      <c r="A16" s="22"/>
      <c r="B16" s="25"/>
      <c r="C16" s="38"/>
      <c r="D16" s="24"/>
      <c r="E16" s="24"/>
      <c r="F16" s="25"/>
      <c r="G16" s="22"/>
    </row>
    <row r="17" spans="1:7" ht="21">
      <c r="A17" s="22"/>
      <c r="B17" s="25"/>
      <c r="C17" s="39" t="s">
        <v>16</v>
      </c>
      <c r="D17" s="24"/>
      <c r="E17" s="24"/>
      <c r="F17" s="25"/>
      <c r="G17" s="22"/>
    </row>
    <row r="18" spans="1:7" ht="7.5" customHeight="1">
      <c r="A18" s="22"/>
      <c r="B18" s="25"/>
      <c r="C18" s="38"/>
      <c r="D18" s="24"/>
      <c r="E18" s="24"/>
      <c r="F18" s="25"/>
      <c r="G18" s="22"/>
    </row>
    <row r="19" spans="1:7" ht="15" hidden="1">
      <c r="A19" s="22"/>
      <c r="B19" s="25"/>
      <c r="C19" s="40"/>
      <c r="D19" s="24"/>
      <c r="E19" s="24"/>
      <c r="F19" s="25"/>
      <c r="G19" s="22"/>
    </row>
    <row r="20" spans="1:7" ht="15" customHeight="1">
      <c r="A20" s="22"/>
      <c r="B20" s="25"/>
      <c r="C20" s="41" t="s">
        <v>15</v>
      </c>
      <c r="D20" s="24"/>
      <c r="E20" s="24"/>
      <c r="F20" s="25"/>
      <c r="G20" s="22"/>
    </row>
    <row r="21" spans="1:7" ht="15" customHeight="1">
      <c r="A21" s="22"/>
      <c r="B21" s="25"/>
      <c r="C21" s="41" t="s">
        <v>14</v>
      </c>
      <c r="D21" s="24"/>
      <c r="E21" s="24"/>
      <c r="F21" s="25"/>
      <c r="G21" s="22"/>
    </row>
    <row r="22" spans="1:7" ht="15" customHeight="1">
      <c r="A22" s="22"/>
      <c r="B22" s="25"/>
      <c r="C22" s="41" t="s">
        <v>13</v>
      </c>
      <c r="D22" s="24"/>
      <c r="E22" s="24"/>
      <c r="F22" s="25"/>
      <c r="G22" s="22"/>
    </row>
    <row r="23" spans="1:7" ht="15" customHeight="1">
      <c r="A23" s="22"/>
      <c r="B23" s="25"/>
      <c r="C23" s="40"/>
      <c r="D23" s="24"/>
      <c r="E23" s="24"/>
      <c r="F23" s="25"/>
      <c r="G23" s="22"/>
    </row>
    <row r="24" spans="1:7" ht="15" customHeight="1">
      <c r="A24" s="22"/>
      <c r="B24" s="25"/>
      <c r="C24" s="37"/>
      <c r="D24" s="24"/>
      <c r="E24" s="24"/>
      <c r="F24" s="25"/>
      <c r="G24" s="22"/>
    </row>
    <row r="25" spans="1:7" ht="15" hidden="1">
      <c r="A25" s="22"/>
      <c r="B25" s="25"/>
      <c r="C25" s="37"/>
      <c r="D25" s="24"/>
      <c r="E25" s="24"/>
      <c r="F25" s="25"/>
      <c r="G25" s="22"/>
    </row>
    <row r="26" spans="1:7" ht="15" hidden="1">
      <c r="A26" s="22"/>
      <c r="B26" s="25"/>
      <c r="C26" s="38"/>
      <c r="D26" s="24"/>
      <c r="E26" s="24"/>
      <c r="F26" s="25"/>
      <c r="G26" s="22"/>
    </row>
    <row r="27" spans="1:7" ht="21">
      <c r="A27" s="22"/>
      <c r="B27" s="25"/>
      <c r="C27" s="39" t="s">
        <v>12</v>
      </c>
      <c r="D27" s="24"/>
      <c r="E27" s="24"/>
      <c r="F27" s="25"/>
      <c r="G27" s="22"/>
    </row>
    <row r="28" spans="1:7" ht="7.5" customHeight="1">
      <c r="A28" s="22"/>
      <c r="B28" s="25"/>
      <c r="C28" s="38"/>
      <c r="D28" s="24"/>
      <c r="E28" s="24"/>
      <c r="F28" s="25"/>
      <c r="G28" s="22"/>
    </row>
    <row r="29" spans="1:7" ht="15" hidden="1">
      <c r="A29" s="22"/>
      <c r="B29" s="25"/>
      <c r="C29" s="40"/>
      <c r="D29" s="24"/>
      <c r="E29" s="24"/>
      <c r="F29" s="25"/>
      <c r="G29" s="22"/>
    </row>
    <row r="30" spans="1:7" ht="15" customHeight="1">
      <c r="A30" s="22"/>
      <c r="B30" s="25"/>
      <c r="C30" s="41" t="s">
        <v>11</v>
      </c>
      <c r="D30" s="24"/>
      <c r="E30" s="24"/>
      <c r="F30" s="25"/>
      <c r="G30" s="22"/>
    </row>
    <row r="31" spans="1:7" ht="15" customHeight="1">
      <c r="A31" s="22"/>
      <c r="B31" s="25"/>
      <c r="C31" s="41" t="s">
        <v>10</v>
      </c>
      <c r="D31" s="24"/>
      <c r="E31" s="24"/>
      <c r="F31" s="25"/>
      <c r="G31" s="22"/>
    </row>
    <row r="32" spans="1:7" ht="30" customHeight="1">
      <c r="A32" s="22"/>
      <c r="B32" s="25"/>
      <c r="C32" s="41" t="s">
        <v>9</v>
      </c>
      <c r="D32" s="24"/>
      <c r="E32" s="24"/>
      <c r="F32" s="25"/>
      <c r="G32" s="22"/>
    </row>
    <row r="33" spans="1:7" ht="15" customHeight="1">
      <c r="A33" s="22"/>
      <c r="B33" s="25"/>
      <c r="C33" s="40"/>
      <c r="D33" s="24"/>
      <c r="E33" s="24"/>
      <c r="F33" s="25"/>
      <c r="G33" s="22"/>
    </row>
    <row r="34" spans="1:7" ht="15" customHeight="1">
      <c r="A34" s="22"/>
      <c r="B34" s="25"/>
      <c r="C34" s="37"/>
      <c r="D34" s="24"/>
      <c r="E34" s="24"/>
      <c r="F34" s="25"/>
      <c r="G34" s="22"/>
    </row>
    <row r="35" spans="1:7" ht="15" hidden="1">
      <c r="A35" s="22"/>
      <c r="B35" s="25"/>
      <c r="C35" s="37"/>
      <c r="D35" s="24"/>
      <c r="E35" s="24"/>
      <c r="F35" s="25"/>
      <c r="G35" s="22"/>
    </row>
    <row r="36" spans="1:7" ht="15" hidden="1">
      <c r="A36" s="22"/>
      <c r="B36" s="25"/>
      <c r="C36" s="38"/>
      <c r="D36" s="24"/>
      <c r="E36" s="24"/>
      <c r="F36" s="25"/>
      <c r="G36" s="22"/>
    </row>
    <row r="37" spans="1:7" ht="21">
      <c r="A37" s="22"/>
      <c r="B37" s="25"/>
      <c r="C37" s="39" t="s">
        <v>8</v>
      </c>
      <c r="D37" s="24"/>
      <c r="E37" s="24"/>
      <c r="F37" s="25"/>
      <c r="G37" s="22"/>
    </row>
    <row r="38" spans="1:7" ht="7.5" customHeight="1">
      <c r="A38" s="22"/>
      <c r="B38" s="25"/>
      <c r="C38" s="38"/>
      <c r="D38" s="24"/>
      <c r="E38" s="24"/>
      <c r="F38" s="25"/>
      <c r="G38" s="22"/>
    </row>
    <row r="39" spans="1:7" ht="15" hidden="1">
      <c r="A39" s="22"/>
      <c r="B39" s="25"/>
      <c r="C39" s="40"/>
      <c r="D39" s="24"/>
      <c r="E39" s="24"/>
      <c r="F39" s="25"/>
      <c r="G39" s="22"/>
    </row>
    <row r="40" spans="1:7" ht="15" customHeight="1">
      <c r="A40" s="22"/>
      <c r="B40" s="25"/>
      <c r="C40" s="41" t="s">
        <v>7</v>
      </c>
      <c r="D40" s="24"/>
      <c r="E40" s="24"/>
      <c r="F40" s="25"/>
      <c r="G40" s="22"/>
    </row>
    <row r="41" spans="1:7" ht="15" customHeight="1">
      <c r="A41" s="22"/>
      <c r="B41" s="25"/>
      <c r="C41" s="41" t="s">
        <v>6</v>
      </c>
      <c r="D41" s="24"/>
      <c r="E41" s="24"/>
      <c r="F41" s="25"/>
      <c r="G41" s="22"/>
    </row>
    <row r="42" spans="1:7" ht="15" customHeight="1">
      <c r="A42" s="22"/>
      <c r="B42" s="25"/>
      <c r="C42" s="40"/>
      <c r="D42" s="24"/>
      <c r="E42" s="24"/>
      <c r="F42" s="25"/>
      <c r="G42" s="22"/>
    </row>
    <row r="43" spans="1:7" ht="15" customHeight="1">
      <c r="A43" s="22"/>
      <c r="B43" s="25"/>
      <c r="C43" s="37"/>
      <c r="D43" s="24"/>
      <c r="E43" s="24"/>
      <c r="F43" s="25"/>
      <c r="G43" s="22"/>
    </row>
    <row r="44" spans="1:7" ht="15" hidden="1">
      <c r="A44" s="22"/>
      <c r="B44" s="25"/>
      <c r="C44" s="37"/>
      <c r="D44" s="24"/>
      <c r="E44" s="24"/>
      <c r="F44" s="25"/>
      <c r="G44" s="22"/>
    </row>
    <row r="45" spans="1:7" ht="15" hidden="1">
      <c r="A45" s="22"/>
      <c r="B45" s="25"/>
      <c r="C45" s="38"/>
      <c r="D45" s="24"/>
      <c r="E45" s="24"/>
      <c r="F45" s="25"/>
      <c r="G45" s="22"/>
    </row>
    <row r="46" spans="1:7" ht="21">
      <c r="A46" s="22"/>
      <c r="B46" s="25"/>
      <c r="C46" s="39" t="s">
        <v>5</v>
      </c>
      <c r="D46" s="24"/>
      <c r="E46" s="24"/>
      <c r="F46" s="25"/>
      <c r="G46" s="22"/>
    </row>
    <row r="47" spans="1:7" ht="7.5" customHeight="1">
      <c r="A47" s="22"/>
      <c r="B47" s="25"/>
      <c r="C47" s="38"/>
      <c r="D47" s="24"/>
      <c r="E47" s="24"/>
      <c r="F47" s="25"/>
      <c r="G47" s="22"/>
    </row>
    <row r="48" spans="1:7" ht="15" hidden="1">
      <c r="A48" s="22"/>
      <c r="B48" s="25"/>
      <c r="C48" s="40"/>
      <c r="D48" s="24"/>
      <c r="E48" s="24"/>
      <c r="F48" s="25"/>
      <c r="G48" s="22"/>
    </row>
    <row r="49" spans="1:7" ht="15" customHeight="1">
      <c r="A49" s="22"/>
      <c r="B49" s="25"/>
      <c r="C49" s="42">
        <f>HYPERLINK("https://www.cometrics.com/excel-survey-update-instructions/","Click here for instructions on how to access and/or update prior surveys")</f>
      </c>
      <c r="D49" s="24"/>
      <c r="E49" s="24"/>
      <c r="F49" s="25"/>
      <c r="G49" s="22"/>
    </row>
    <row r="50" spans="1:7" ht="15" customHeight="1">
      <c r="A50" s="22"/>
      <c r="B50" s="25"/>
      <c r="C50" s="40"/>
      <c r="D50" s="24"/>
      <c r="E50" s="24"/>
      <c r="F50" s="25"/>
      <c r="G50" s="22"/>
    </row>
    <row r="51" spans="1:7" ht="15" customHeight="1">
      <c r="A51" s="22"/>
      <c r="B51" s="25"/>
      <c r="C51" s="37"/>
      <c r="D51" s="24"/>
      <c r="E51" s="24"/>
      <c r="F51" s="25"/>
      <c r="G51" s="22"/>
    </row>
    <row r="52" spans="1:7" ht="15" hidden="1">
      <c r="A52" s="22"/>
      <c r="B52" s="25"/>
      <c r="C52" s="37"/>
      <c r="D52" s="24"/>
      <c r="E52" s="24"/>
      <c r="F52" s="25"/>
      <c r="G52" s="22"/>
    </row>
    <row r="53" spans="1:7" ht="15" hidden="1">
      <c r="A53" s="22"/>
      <c r="B53" s="25"/>
      <c r="C53" s="38"/>
      <c r="D53" s="24"/>
      <c r="E53" s="24"/>
      <c r="F53" s="25"/>
      <c r="G53" s="22"/>
    </row>
    <row r="54" spans="1:7" ht="21">
      <c r="A54" s="22"/>
      <c r="B54" s="25"/>
      <c r="C54" s="39" t="s">
        <v>4</v>
      </c>
      <c r="D54" s="24"/>
      <c r="E54" s="24"/>
      <c r="F54" s="25"/>
      <c r="G54" s="22"/>
    </row>
    <row r="55" spans="1:7" ht="7.5" customHeight="1">
      <c r="A55" s="22"/>
      <c r="B55" s="25"/>
      <c r="C55" s="38"/>
      <c r="D55" s="24"/>
      <c r="E55" s="24"/>
      <c r="F55" s="25"/>
      <c r="G55" s="22"/>
    </row>
    <row r="56" spans="1:7" ht="15" hidden="1">
      <c r="A56" s="22"/>
      <c r="B56" s="25"/>
      <c r="C56" s="40"/>
      <c r="D56" s="24"/>
      <c r="E56" s="24"/>
      <c r="F56" s="25"/>
      <c r="G56" s="22"/>
    </row>
    <row r="57" spans="1:7" ht="15" customHeight="1">
      <c r="A57" s="22"/>
      <c r="B57" s="25"/>
      <c r="C57" s="42">
        <f>HYPERLINK("https://www.cometrics.com/excel-survey-upload-instructions/","Click here for upload instructions")</f>
      </c>
      <c r="D57" s="24"/>
      <c r="E57" s="24"/>
      <c r="F57" s="25"/>
      <c r="G57" s="22"/>
    </row>
    <row r="58" spans="1:7" ht="15" customHeight="1">
      <c r="A58" s="22"/>
      <c r="B58" s="25"/>
      <c r="C58" s="42">
        <f>HYPERLINK("https://secure.cometrics.com/sign-in","Click here to sign in and upload your survey")</f>
      </c>
      <c r="D58" s="24"/>
      <c r="E58" s="24"/>
      <c r="F58" s="25"/>
      <c r="G58" s="22"/>
    </row>
    <row r="59" spans="1:7" ht="15" customHeight="1">
      <c r="A59" s="22"/>
      <c r="B59" s="25"/>
      <c r="C59" s="40"/>
      <c r="D59" s="24"/>
      <c r="E59" s="24"/>
      <c r="F59" s="25"/>
      <c r="G59" s="22"/>
    </row>
    <row r="60" spans="1:7" ht="15" customHeight="1">
      <c r="A60" s="22"/>
      <c r="B60" s="25"/>
      <c r="C60" s="37"/>
      <c r="D60" s="24"/>
      <c r="E60" s="24"/>
      <c r="F60" s="25"/>
      <c r="G60" s="22"/>
    </row>
    <row r="61" spans="1:7" ht="15" hidden="1">
      <c r="A61" s="22"/>
      <c r="B61" s="25"/>
      <c r="C61" s="37"/>
      <c r="D61" s="24"/>
      <c r="E61" s="24"/>
      <c r="F61" s="25"/>
      <c r="G61" s="22"/>
    </row>
    <row r="62" spans="1:7" ht="15" hidden="1">
      <c r="A62" s="22"/>
      <c r="B62" s="25"/>
      <c r="C62" s="38"/>
      <c r="D62" s="24"/>
      <c r="E62" s="24"/>
      <c r="F62" s="25"/>
      <c r="G62" s="22"/>
    </row>
    <row r="63" spans="1:7" ht="21">
      <c r="A63" s="22"/>
      <c r="B63" s="25"/>
      <c r="C63" s="39" t="s">
        <v>3</v>
      </c>
      <c r="D63" s="24"/>
      <c r="E63" s="24"/>
      <c r="F63" s="25"/>
      <c r="G63" s="22"/>
    </row>
    <row r="64" spans="1:7" ht="7.5" customHeight="1">
      <c r="A64" s="22"/>
      <c r="B64" s="25"/>
      <c r="C64" s="38"/>
      <c r="D64" s="24"/>
      <c r="E64" s="24"/>
      <c r="F64" s="25"/>
      <c r="G64" s="22"/>
    </row>
    <row r="65" spans="1:7" ht="15" hidden="1">
      <c r="A65" s="22"/>
      <c r="B65" s="25"/>
      <c r="C65" s="40"/>
      <c r="D65" s="24"/>
      <c r="E65" s="24"/>
      <c r="F65" s="25"/>
      <c r="G65" s="22"/>
    </row>
    <row r="66" spans="1:7" ht="15" customHeight="1">
      <c r="A66" s="22"/>
      <c r="B66" s="25"/>
      <c r="C66" s="41" t="s">
        <v>2</v>
      </c>
      <c r="D66" s="24"/>
      <c r="E66" s="24"/>
      <c r="F66" s="25"/>
      <c r="G66" s="22"/>
    </row>
    <row r="67" spans="1:7" ht="15" customHeight="1">
      <c r="A67" s="22"/>
      <c r="B67" s="25"/>
      <c r="C67" s="41" t="s">
        <v>1</v>
      </c>
      <c r="D67" s="24"/>
      <c r="E67" s="24"/>
      <c r="F67" s="25"/>
      <c r="G67" s="22"/>
    </row>
    <row r="68" spans="1:7" ht="15" customHeight="1">
      <c r="A68" s="22"/>
      <c r="B68" s="25"/>
      <c r="C68" s="40"/>
      <c r="D68" s="24"/>
      <c r="E68" s="24"/>
      <c r="F68" s="25"/>
      <c r="G68" s="22"/>
    </row>
    <row r="69" spans="1:7" ht="15" customHeight="1">
      <c r="A69" s="22"/>
      <c r="B69" s="25"/>
      <c r="C69" s="37"/>
      <c r="D69" s="24"/>
      <c r="E69" s="24"/>
      <c r="F69" s="25"/>
      <c r="G69" s="22"/>
    </row>
    <row r="70" spans="1:7" ht="15" hidden="1">
      <c r="A70" s="22"/>
      <c r="B70" s="25"/>
      <c r="C70" s="36"/>
      <c r="D70" s="24"/>
      <c r="E70" s="24"/>
      <c r="F70" s="25"/>
      <c r="G70" s="22"/>
    </row>
    <row r="71" spans="1:7" ht="15">
      <c r="A71" s="22"/>
      <c r="B71" s="25"/>
      <c r="C71" s="24"/>
      <c r="D71" s="24"/>
      <c r="E71" s="43" t="s">
        <v>18</v>
      </c>
      <c r="F71" s="25"/>
      <c r="G71" s="22"/>
    </row>
    <row r="72" spans="1:7" ht="37.5" customHeight="1">
      <c r="A72" s="22" t="s">
        <v>17</v>
      </c>
      <c r="B72" s="22" t="s">
        <v>17</v>
      </c>
      <c r="C72" s="22" t="s">
        <v>17</v>
      </c>
      <c r="D72" s="22" t="s">
        <v>17</v>
      </c>
      <c r="E72" s="22" t="s">
        <v>17</v>
      </c>
      <c r="F72" s="22" t="s">
        <v>17</v>
      </c>
      <c r="G72" s="22" t="s">
        <v>17</v>
      </c>
    </row>
  </sheetData>
  <sheetProtection password="F7F9" sheet="1" objects="1" scenarios="1"/>
  <mergeCells count="16">
    <mergeCell ref="A1:G1"/>
    <mergeCell ref="A72:G72"/>
    <mergeCell ref="C3:E3"/>
    <mergeCell ref="C20:E20"/>
    <mergeCell ref="C21:E21"/>
    <mergeCell ref="C22:E22"/>
    <mergeCell ref="C30:E30"/>
    <mergeCell ref="C31:E31"/>
    <mergeCell ref="C32:E32"/>
    <mergeCell ref="C40:E40"/>
    <mergeCell ref="C41:E41"/>
    <mergeCell ref="C49:E49"/>
    <mergeCell ref="C57:E57"/>
    <mergeCell ref="C58:E58"/>
    <mergeCell ref="C66:E66"/>
    <mergeCell ref="C67:E67"/>
  </mergeCells>
  <conditionalFormatting sqref="A1:G1">
    <cfRule type="cellIs" priority="1" dxfId="0" operator="notEqual" stopIfTrue="1">
      <formula>""</formula>
    </cfRule>
  </conditionalFormatting>
  <dataValidations count="1">
    <dataValidation type="list" showErrorMessage="1" errorTitle="Oops!" error="Please select a time period from the drop down." sqref="C12">
      <formula1>'Welcome-Lists'!$A$1</formula1>
    </dataValidation>
  </dataValidations>
  <pageMargins left="0.75" right="0.75" top="1" bottom="1" header="0.5" footer="0.5"/>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A3"/>
  <sheetViews>
    <sheetView workbookViewId="0" topLeftCell="A1"/>
  </sheetViews>
  <sheetFormatPr defaultRowHeight="12.75"/>
  <sheetData>
    <row r="1" ht="12.75"/>
    <row r="2" ht="12.75">
      <c r="A2" t="s">
        <v>32</v>
      </c>
    </row>
    <row r="3" ht="12.75">
      <c r="A3" t="s">
        <v>33</v>
      </c>
    </row>
  </sheetData>
  <sheetProtection password="F7F9" sheet="1" objects="1" scenarios="1"/>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181"/>
  <sheetViews>
    <sheetView showRowColHeaders="0" workbookViewId="0" topLeftCell="A1">
      <selection pane="topLeft" activeCell="I33" sqref="I33"/>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"Balance Sheet (end of "&amp;IFERROR(INDEX({"2020"},MATCH(Welcome!C12,{"FY: 2020"},0)),"SELECT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194"/>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customHeight="1">
      <c r="A23" s="22"/>
      <c r="B23" s="142"/>
      <c r="C23" s="195" t="s">
        <v>77</v>
      </c>
      <c r="D23" s="196"/>
      <c r="E23" s="196"/>
      <c r="F23" s="197"/>
      <c r="G23" s="196"/>
      <c r="H23" s="196"/>
      <c r="I23" s="198"/>
      <c r="J23" s="196"/>
      <c r="K23" s="196"/>
      <c r="L23" s="199"/>
      <c r="M23" s="197"/>
      <c r="N23" s="196"/>
      <c r="O23" s="196"/>
      <c r="P23" s="199"/>
      <c r="Q23" s="196"/>
      <c r="R23" s="196"/>
      <c r="S23" s="198"/>
      <c r="T23" s="149"/>
      <c r="U23" s="53"/>
      <c r="V23" s="150"/>
      <c r="W23" s="255"/>
      <c r="X23" s="150"/>
      <c r="Y23" s="22"/>
    </row>
    <row r="24" spans="1:25" ht="15" customHeight="1">
      <c r="A24" s="22"/>
      <c r="B24" s="142"/>
      <c r="C24" s="195" t="s">
        <v>75</v>
      </c>
      <c r="D24" s="196"/>
      <c r="E24" s="196"/>
      <c r="F24" s="197"/>
      <c r="G24" s="196"/>
      <c r="H24" s="196"/>
      <c r="I24" s="198"/>
      <c r="J24" s="196"/>
      <c r="K24" s="196"/>
      <c r="L24" s="199"/>
      <c r="M24" s="197"/>
      <c r="N24" s="196"/>
      <c r="O24" s="196"/>
      <c r="P24" s="199"/>
      <c r="Q24" s="196"/>
      <c r="R24" s="196"/>
      <c r="S24" s="198"/>
      <c r="T24" s="149"/>
      <c r="U24" s="53"/>
      <c r="V24" s="150"/>
      <c r="W24" s="255"/>
      <c r="X24" s="150"/>
      <c r="Y24" s="22"/>
    </row>
    <row r="25" spans="1:25" ht="15" customHeight="1">
      <c r="A25" s="22"/>
      <c r="B25" s="142"/>
      <c r="C25" s="195" t="s">
        <v>76</v>
      </c>
      <c r="D25" s="196"/>
      <c r="E25" s="196"/>
      <c r="F25" s="197"/>
      <c r="G25" s="196"/>
      <c r="H25" s="196"/>
      <c r="I25" s="198"/>
      <c r="J25" s="196"/>
      <c r="K25" s="196"/>
      <c r="L25" s="199"/>
      <c r="M25" s="197"/>
      <c r="N25" s="196"/>
      <c r="O25" s="196"/>
      <c r="P25" s="199"/>
      <c r="Q25" s="196"/>
      <c r="R25" s="196"/>
      <c r="S25" s="198"/>
      <c r="T25" s="149"/>
      <c r="U25" s="53"/>
      <c r="V25" s="150"/>
      <c r="W25" s="255"/>
      <c r="X25" s="150"/>
      <c r="Y25" s="22"/>
    </row>
    <row r="26" spans="1:25" ht="15" customHeight="1">
      <c r="A26" s="22"/>
      <c r="B26" s="142"/>
      <c r="C26" s="19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hidden="1">
      <c r="A27" s="22"/>
      <c r="B27" s="142"/>
      <c r="C27" s="200"/>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c r="A29" s="22"/>
      <c r="B29" s="142"/>
      <c r="C29" s="202"/>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8.75">
      <c r="A30" s="22"/>
      <c r="B30" s="142"/>
      <c r="C30" s="203" t="s">
        <v>74</v>
      </c>
      <c r="D30" s="142"/>
      <c r="E30" s="144"/>
      <c r="F30" s="145"/>
      <c r="G30" s="144"/>
      <c r="H30" s="25"/>
      <c r="I30" s="146"/>
      <c r="J30" s="25"/>
      <c r="K30" s="147"/>
      <c r="L30" s="24"/>
      <c r="M30" s="145"/>
      <c r="N30" s="147"/>
      <c r="O30" s="148"/>
      <c r="P30" s="24"/>
      <c r="Q30" s="148"/>
      <c r="R30" s="149"/>
      <c r="S30" s="146"/>
      <c r="T30" s="149"/>
      <c r="U30" s="53"/>
      <c r="V30" s="150"/>
      <c r="W30" s="255"/>
      <c r="X30" s="150"/>
      <c r="Y30" s="22"/>
    </row>
    <row r="31" spans="1:25" ht="7.5" customHeight="1">
      <c r="A31" s="22"/>
      <c r="B31" s="142"/>
      <c r="C31" s="202"/>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04"/>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05" t="s">
        <v>73</v>
      </c>
      <c r="D33" s="142"/>
      <c r="E33" s="144"/>
      <c r="F33" s="206"/>
      <c r="G33" s="144"/>
      <c r="H33" s="25"/>
      <c r="I33" s="256"/>
      <c r="J33" s="25"/>
      <c r="K33" s="147"/>
      <c r="L33" s="12">
        <f>HYPERLINK("#I33",CHAR(128))</f>
      </c>
      <c r="M33" s="145"/>
      <c r="N33" s="147"/>
      <c r="O33" s="148"/>
      <c r="P33" s="179">
        <f>IF(NOT(NOT(IF(ISERROR(I33),ERROR.TYPE(#REF!)=ERROR.TYPE(I33),FALSE))),"Fail",IF(NOT(NOT(ISBLANK(I33))),"Fail",IF(NOT(NOT(ISNA(HLOOKUP(I33,{"yes","no"},1,FALSE)))),"Fail","Pass")))</f>
      </c>
      <c r="Q33" s="148"/>
      <c r="R33" s="149"/>
      <c r="S33" s="207">
        <f>IF(NOT(NOT(IF(ISERROR(I33),ERROR.TYPE(#REF!)=ERROR.TYPE(I33),FALSE))),"UNDO NOW (use button or Ctrl+Z)! CANNOT DRAG-AND-DROP CELLS",IF(NOT(NOT(ISBLANK(I33))),"input required",IF(NOT(NOT(ISNA(HLOOKUP(I33,{"yes","no"},1,FALSE)))),"select a value from the drop-down","")))</f>
      </c>
      <c r="T33" s="149"/>
      <c r="U33" s="53"/>
      <c r="V33" s="150"/>
      <c r="W33" s="255"/>
      <c r="X33" s="150"/>
      <c r="Y33" s="22"/>
    </row>
    <row r="34" spans="1:25" ht="15" hidden="1">
      <c r="A34" s="22"/>
      <c r="B34" s="142"/>
      <c r="C34" s="204"/>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201"/>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8"/>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c r="A38" s="22"/>
      <c r="B38" s="142"/>
      <c r="C38" s="209" t="s">
        <v>72</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15" customHeight="1">
      <c r="A39" s="22"/>
      <c r="B39" s="142"/>
      <c r="C39" s="208"/>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thickBot="1">
      <c r="A40" s="22"/>
      <c r="B40" s="142"/>
      <c r="C40" s="204"/>
      <c r="D40" s="142"/>
      <c r="E40" s="144"/>
      <c r="F40" s="145"/>
      <c r="G40" s="144"/>
      <c r="H40" s="25"/>
      <c r="I40" s="177"/>
      <c r="J40" s="25"/>
      <c r="K40" s="147"/>
      <c r="L40" s="24"/>
      <c r="M40" s="145"/>
      <c r="N40" s="147"/>
      <c r="O40" s="148"/>
      <c r="P40" s="24"/>
      <c r="Q40" s="148"/>
      <c r="R40" s="149"/>
      <c r="S40" s="146"/>
      <c r="T40" s="149"/>
      <c r="U40" s="53"/>
      <c r="V40" s="150"/>
      <c r="W40" s="255"/>
      <c r="X40" s="150"/>
      <c r="Y40" s="22"/>
    </row>
    <row r="41" spans="1:25" ht="15" thickBot="1">
      <c r="A41" s="22"/>
      <c r="B41" s="142"/>
      <c r="C41" s="205" t="s">
        <v>71</v>
      </c>
      <c r="D41" s="142"/>
      <c r="E41" s="144"/>
      <c r="F41" s="206"/>
      <c r="G41" s="144"/>
      <c r="H41" s="25"/>
      <c r="I41" s="257"/>
      <c r="J41" s="25"/>
      <c r="K41" s="147"/>
      <c r="L41" s="206" t="s">
        <v>70</v>
      </c>
      <c r="M41" s="206"/>
      <c r="N41" s="147"/>
      <c r="O41" s="148"/>
      <c r="P41" s="179">
        <f>IF(NOT(NOT(IF(ISERROR(I41),ERROR.TYPE(#REF!)=ERROR.TYPE(I41),FALSE))),"Fail",IF(NOT(IF(ISBLANK(I41),TRUE,ISNUMBER(I41))),"Fail",IF(NOT(IF(ISBLANK(I41),TRUE,LEN(I41)-FIND(".",I41&amp;".")&lt;=1)),"Fail",IF(I33="","PassBecauseBlankAllowed",IF(AND(I33="no",ISBLANK(I41)),"Pass",IF(NOT(IF(I33="no",ISBLANK(I41),TRUE)),"Fail",IF(NOT(IF(I33="yes",NOT(ISBLANK(I41)),TRUE)),"Fail",IF(NOT(I41&gt;=0),"Fail","Pass"))))))))</f>
      </c>
      <c r="Q41" s="148"/>
      <c r="R41" s="149"/>
      <c r="S41" s="207">
        <f>IF(NOT(NOT(IF(ISERROR(I41),ERROR.TYPE(#REF!)=ERROR.TYPE(I41),FALSE))),"UNDO NOW (use button or Ctrl+Z)! CANNOT DRAG-AND-DROP CELLS",IF(NOT(IF(ISBLANK(I41),TRUE,ISNUMBER(I41))),"enter a number",IF(NOT(IF(ISBLANK(I41),TRUE,LEN(I41)-FIND(".",I41&amp;".")&lt;=1)),"only 1 decimal place(s) allowed",IF(I33="","",IF(AND(I33="no",ISBLANK(I41)),"",IF(NOT(IF(I33="no",ISBLANK(I41),TRUE)),"leave blank",IF(NOT(IF(I33="yes",NOT(ISBLANK(I41)),TRUE)),"input required",IF(NOT(I41&gt;=0),"must be &gt;= 0",""))))))))</f>
      </c>
      <c r="T41" s="149"/>
      <c r="U41" s="53"/>
      <c r="V41" s="150"/>
      <c r="W41" s="255"/>
      <c r="X41" s="150"/>
      <c r="Y41" s="22"/>
    </row>
    <row r="42" spans="1:25" ht="15" hidden="1">
      <c r="A42" s="22"/>
      <c r="B42" s="142"/>
      <c r="C42" s="204"/>
      <c r="D42" s="142"/>
      <c r="E42" s="144"/>
      <c r="F42" s="145"/>
      <c r="G42" s="144"/>
      <c r="H42" s="25"/>
      <c r="I42" s="146"/>
      <c r="J42" s="25"/>
      <c r="K42" s="147"/>
      <c r="L42" s="24"/>
      <c r="M42" s="145"/>
      <c r="N42" s="147"/>
      <c r="O42" s="148"/>
      <c r="P42" s="24"/>
      <c r="Q42" s="148"/>
      <c r="R42" s="149"/>
      <c r="S42" s="146"/>
      <c r="T42" s="149"/>
      <c r="U42" s="53"/>
      <c r="V42" s="150"/>
      <c r="W42" s="255"/>
      <c r="X42" s="150"/>
      <c r="Y42" s="22"/>
    </row>
    <row r="43" spans="1:25" ht="15" customHeight="1">
      <c r="A43" s="22"/>
      <c r="B43" s="142"/>
      <c r="C43" s="201"/>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hidden="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8"/>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30">
      <c r="A46" s="22"/>
      <c r="B46" s="142"/>
      <c r="C46" s="217" t="s">
        <v>69</v>
      </c>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c r="A47" s="22"/>
      <c r="B47" s="142"/>
      <c r="C47" s="218" t="s">
        <v>68</v>
      </c>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customHeight="1">
      <c r="A48" s="22"/>
      <c r="B48" s="142"/>
      <c r="C48" s="208"/>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15" hidden="1" thickBot="1">
      <c r="A49" s="22"/>
      <c r="B49" s="142"/>
      <c r="C49" s="204"/>
      <c r="D49" s="142"/>
      <c r="E49" s="144"/>
      <c r="F49" s="145"/>
      <c r="G49" s="144"/>
      <c r="H49" s="25"/>
      <c r="I49" s="177"/>
      <c r="J49" s="25"/>
      <c r="K49" s="147"/>
      <c r="L49" s="24"/>
      <c r="M49" s="145"/>
      <c r="N49" s="147"/>
      <c r="O49" s="148"/>
      <c r="P49" s="24"/>
      <c r="Q49" s="148"/>
      <c r="R49" s="149"/>
      <c r="S49" s="146"/>
      <c r="T49" s="149"/>
      <c r="U49" s="53"/>
      <c r="V49" s="150"/>
      <c r="W49" s="255"/>
      <c r="X49" s="150"/>
      <c r="Y49" s="22"/>
    </row>
    <row r="50" spans="1:25" ht="15">
      <c r="A50" s="22"/>
      <c r="B50" s="142"/>
      <c r="C50" s="205" t="s">
        <v>67</v>
      </c>
      <c r="D50" s="142"/>
      <c r="E50" s="144"/>
      <c r="F50" s="206" t="s">
        <v>66</v>
      </c>
      <c r="G50" s="144"/>
      <c r="H50" s="25"/>
      <c r="I50" s="258"/>
      <c r="J50" s="25"/>
      <c r="K50" s="147"/>
      <c r="L50" s="24"/>
      <c r="M50" s="206"/>
      <c r="N50" s="147"/>
      <c r="O50" s="148"/>
      <c r="P50" s="179">
        <f>IF(NOT(NOT(IF(ISERROR(I50),ERROR.TYPE(#REF!)=ERROR.TYPE(I50),FALSE))),"Fail",IF(NOT(IF(ISBLANK(I50),TRUE,ISNUMBER(I50))),"Fail",IF(NOT(IF(ISBLANK(I50),TRUE,LEN(I50)-FIND(".",I50&amp;".")&lt;=0)),"Fail",IF(I33="","PassBecauseBlankAllowed",IF(AND(I33="no",ISBLANK(I50)),"Pass",IF(NOT(IF(I33="no",ISBLANK(I50),TRUE)),"Fail",IF(NOT(IF(I33="yes",NOT(ISBLANK(I50)),TRUE)),"Fail","Pass")))))))</f>
      </c>
      <c r="Q50" s="148"/>
      <c r="R50" s="149"/>
      <c r="S50" s="207">
        <f>IF(NOT(NOT(IF(ISERROR(I50),ERROR.TYPE(#REF!)=ERROR.TYPE(I50),FALSE))),"UNDO NOW (use button or Ctrl+Z)! CANNOT DRAG-AND-DROP CELLS",IF(NOT(IF(ISBLANK(I50),TRUE,ISNUMBER(I50))),"enter a number",IF(NOT(IF(ISBLANK(I50),TRUE,LEN(I50)-FIND(".",I50&amp;".")&lt;=0)),"whole number only",IF(I33="","",IF(AND(I33="no",ISBLANK(I50)),"",IF(NOT(IF(I33="no",ISBLANK(I50),TRUE)),"leave blank",IF(NOT(IF(I33="yes",NOT(ISBLANK(I50)),TRUE)),"input required","")))))))</f>
      </c>
      <c r="T50" s="149"/>
      <c r="U50" s="53"/>
      <c r="V50" s="150"/>
      <c r="W50" s="255"/>
      <c r="X50" s="150"/>
      <c r="Y50" s="22"/>
    </row>
    <row r="51" spans="1:25" ht="15" thickBot="1">
      <c r="A51" s="22"/>
      <c r="B51" s="142"/>
      <c r="C51" s="205" t="s">
        <v>65</v>
      </c>
      <c r="D51" s="142"/>
      <c r="E51" s="144"/>
      <c r="F51" s="206" t="s">
        <v>66</v>
      </c>
      <c r="G51" s="144"/>
      <c r="H51" s="25"/>
      <c r="I51" s="259"/>
      <c r="J51" s="25"/>
      <c r="K51" s="147"/>
      <c r="L51" s="24"/>
      <c r="M51" s="206"/>
      <c r="N51" s="147"/>
      <c r="O51" s="148"/>
      <c r="P51" s="179">
        <f>IF(NOT(NOT(IF(ISERROR(I51),ERROR.TYPE(#REF!)=ERROR.TYPE(I51),FALSE))),"Fail",IF(NOT(IF(ISBLANK(I51),TRUE,ISNUMBER(I51))),"Fail",IF(NOT(IF(ISBLANK(I51),TRUE,LEN(I51)-FIND(".",I51&amp;".")&lt;=0)),"Fail",IF(I33="","PassBecauseBlankAllowed",IF(AND(I33="no",ISBLANK(I51)),"Pass",IF(NOT(IF(I33="no",ISBLANK(I51),TRUE)),"Fail",IF(NOT(IF(I33="yes",NOT(ISBLANK(I51)),TRUE)),"Fail","Pass")))))))</f>
      </c>
      <c r="Q51" s="148"/>
      <c r="R51" s="149"/>
      <c r="S51" s="207">
        <f>IF(NOT(NOT(IF(ISERROR(I51),ERROR.TYPE(#REF!)=ERROR.TYPE(I51),FALSE))),"UNDO NOW (use button or Ctrl+Z)! CANNOT DRAG-AND-DROP CELLS",IF(NOT(IF(ISBLANK(I51),TRUE,ISNUMBER(I51))),"enter a number",IF(NOT(IF(ISBLANK(I51),TRUE,LEN(I51)-FIND(".",I51&amp;".")&lt;=0)),"whole number only",IF(I33="","",IF(AND(I33="no",ISBLANK(I51)),"",IF(NOT(IF(I33="no",ISBLANK(I51),TRUE)),"leave blank",IF(NOT(IF(I33="yes",NOT(ISBLANK(I51)),TRUE)),"input required","")))))))</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customHeight="1">
      <c r="A53" s="22"/>
      <c r="B53" s="142"/>
      <c r="C53" s="201"/>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5" hidden="1">
      <c r="A54" s="22"/>
      <c r="B54" s="142"/>
      <c r="C54" s="201"/>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15" hidden="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8.75">
      <c r="A56" s="22"/>
      <c r="B56" s="142"/>
      <c r="C56" s="203" t="s">
        <v>64</v>
      </c>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7.5" customHeight="1">
      <c r="A57" s="22"/>
      <c r="B57" s="142"/>
      <c r="C57" s="202"/>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hidden="1" thickBot="1">
      <c r="A58" s="22"/>
      <c r="B58" s="142"/>
      <c r="C58" s="204"/>
      <c r="D58" s="142"/>
      <c r="E58" s="144"/>
      <c r="F58" s="145"/>
      <c r="G58" s="144"/>
      <c r="H58" s="25"/>
      <c r="I58" s="177"/>
      <c r="J58" s="25"/>
      <c r="K58" s="147"/>
      <c r="L58" s="24"/>
      <c r="M58" s="145"/>
      <c r="N58" s="147"/>
      <c r="O58" s="148"/>
      <c r="P58" s="24"/>
      <c r="Q58" s="148"/>
      <c r="R58" s="149"/>
      <c r="S58" s="146"/>
      <c r="T58" s="149"/>
      <c r="U58" s="53"/>
      <c r="V58" s="150"/>
      <c r="W58" s="255"/>
      <c r="X58" s="150"/>
      <c r="Y58" s="22"/>
    </row>
    <row r="59" spans="1:25" ht="15">
      <c r="A59" s="22"/>
      <c r="B59" s="142"/>
      <c r="C59" s="205" t="s">
        <v>63</v>
      </c>
      <c r="D59" s="142"/>
      <c r="E59" s="144"/>
      <c r="F59" s="206" t="s">
        <v>66</v>
      </c>
      <c r="G59" s="144"/>
      <c r="H59" s="25"/>
      <c r="I59" s="258"/>
      <c r="J59" s="25"/>
      <c r="K59" s="147"/>
      <c r="L59" s="24"/>
      <c r="M59" s="206"/>
      <c r="N59" s="147"/>
      <c r="O59" s="148"/>
      <c r="P59" s="179">
        <f>IF(NOT(NOT(IF(ISERROR(I59),ERROR.TYPE(#REF!)=ERROR.TYPE(I59),FALSE))),"Fail",IF(NOT(NOT(ISBLANK(I59))),"Fail",IF(NOT(ISNUMBER(I59)),"Fail",IF(NOT(LEN(I59)-FIND(".",I59&amp;".")&lt;=0),"Fail","Pass"))))</f>
      </c>
      <c r="Q59" s="148"/>
      <c r="R59" s="149"/>
      <c r="S59" s="207">
        <f>IF(NOT(NOT(IF(ISERROR(I59),ERROR.TYPE(#REF!)=ERROR.TYPE(I59),FALSE))),"UNDO NOW (use button or Ctrl+Z)! CANNOT DRAG-AND-DROP CELLS",IF(NOT(NOT(ISBLANK(I59))),"input required",IF(NOT(ISNUMBER(I59)),"enter a number",IF(NOT(LEN(I59)-FIND(".",I59&amp;".")&lt;=0),"whole number only",""))))</f>
      </c>
      <c r="T59" s="149"/>
      <c r="U59" s="53"/>
      <c r="V59" s="150"/>
      <c r="W59" s="255"/>
      <c r="X59" s="150"/>
      <c r="Y59" s="22"/>
    </row>
    <row r="60" spans="1:25" ht="15">
      <c r="A60" s="22"/>
      <c r="B60" s="142"/>
      <c r="C60" s="205" t="s">
        <v>62</v>
      </c>
      <c r="D60" s="142"/>
      <c r="E60" s="144"/>
      <c r="F60" s="206" t="s">
        <v>66</v>
      </c>
      <c r="G60" s="144"/>
      <c r="H60" s="25"/>
      <c r="I60" s="260"/>
      <c r="J60" s="25"/>
      <c r="K60" s="147"/>
      <c r="L60" s="24"/>
      <c r="M60" s="206"/>
      <c r="N60" s="147"/>
      <c r="O60" s="148"/>
      <c r="P60" s="179">
        <f>IF(NOT(NOT(IF(ISERROR(I60),ERROR.TYPE(#REF!)=ERROR.TYPE(I60),FALSE))),"Fail",IF(NOT(NOT(ISBLANK(I60))),"Fail",IF(NOT(ISNUMBER(I60)),"Fail",IF(NOT(LEN(I60)-FIND(".",I60&amp;".")&lt;=0),"Fail",IF(NOT(I60&gt;0),"Fail","Pass")))))</f>
      </c>
      <c r="Q60" s="148"/>
      <c r="R60" s="149"/>
      <c r="S60" s="207">
        <f>IF(NOT(NOT(IF(ISERROR(I60),ERROR.TYPE(#REF!)=ERROR.TYPE(I60),FALSE))),"UNDO NOW (use button or Ctrl+Z)! CANNOT DRAG-AND-DROP CELLS",IF(NOT(NOT(ISBLANK(I60))),"input required",IF(NOT(ISNUMBER(I60)),"enter a number",IF(NOT(LEN(I60)-FIND(".",I60&amp;".")&lt;=0),"whole number only",IF(NOT(I60&gt;0),"must be &gt; 0","")))))</f>
      </c>
      <c r="T60" s="149"/>
      <c r="U60" s="53"/>
      <c r="V60" s="150"/>
      <c r="W60" s="255"/>
      <c r="X60" s="150"/>
      <c r="Y60" s="22"/>
    </row>
    <row r="61" spans="1:25" ht="15">
      <c r="A61" s="22"/>
      <c r="B61" s="142"/>
      <c r="C61" s="205" t="s">
        <v>61</v>
      </c>
      <c r="D61" s="142"/>
      <c r="E61" s="144"/>
      <c r="F61" s="206" t="s">
        <v>66</v>
      </c>
      <c r="G61" s="144"/>
      <c r="H61" s="25"/>
      <c r="I61" s="260"/>
      <c r="J61" s="25"/>
      <c r="K61" s="147"/>
      <c r="L61" s="24"/>
      <c r="M61" s="206"/>
      <c r="N61" s="147"/>
      <c r="O61" s="148"/>
      <c r="P61" s="179">
        <f>IF(NOT(NOT(IF(ISERROR(I61),ERROR.TYPE(#REF!)=ERROR.TYPE(I61),FALSE))),"Fail",IF(NOT(NOT(ISBLANK(I61))),"Fail",IF(NOT(ISNUMBER(I61)),"Fail",IF(NOT(LEN(I61)-FIND(".",I61&amp;".")&lt;=0),"Fail","Pass"))))</f>
      </c>
      <c r="Q61" s="148"/>
      <c r="R61" s="149"/>
      <c r="S61" s="207">
        <f>IF(NOT(NOT(IF(ISERROR(I61),ERROR.TYPE(#REF!)=ERROR.TYPE(I61),FALSE))),"UNDO NOW (use button or Ctrl+Z)! CANNOT DRAG-AND-DROP CELLS",IF(NOT(NOT(ISBLANK(I61))),"input required",IF(NOT(ISNUMBER(I61)),"enter a number",IF(NOT(LEN(I61)-FIND(".",I61&amp;".")&lt;=0),"whole number only",""))))</f>
      </c>
      <c r="T61" s="149"/>
      <c r="U61" s="53"/>
      <c r="V61" s="150"/>
      <c r="W61" s="255"/>
      <c r="X61" s="150"/>
      <c r="Y61" s="22"/>
    </row>
    <row r="62" spans="1:25" ht="15" thickBot="1">
      <c r="A62" s="22"/>
      <c r="B62" s="142"/>
      <c r="C62" s="205" t="s">
        <v>60</v>
      </c>
      <c r="D62" s="142"/>
      <c r="E62" s="144"/>
      <c r="F62" s="206" t="s">
        <v>66</v>
      </c>
      <c r="G62" s="144"/>
      <c r="H62" s="25"/>
      <c r="I62" s="259"/>
      <c r="J62" s="25"/>
      <c r="K62" s="147"/>
      <c r="L62" s="24"/>
      <c r="M62" s="206"/>
      <c r="N62" s="147"/>
      <c r="O62" s="148"/>
      <c r="P62" s="179">
        <f>IF(NOT(NOT(IF(ISERROR(I62),ERROR.TYPE(#REF!)=ERROR.TYPE(I62),FALSE))),"Fail",IF(NOT(NOT(ISBLANK(I62))),"Fail",IF(NOT(ISNUMBER(I62)),"Fail",IF(NOT(LEN(I62)-FIND(".",I62&amp;".")&lt;=0),"Fail","Pass"))))</f>
      </c>
      <c r="Q62" s="148"/>
      <c r="R62" s="149"/>
      <c r="S62" s="207">
        <f>IF(NOT(NOT(IF(ISERROR(I62),ERROR.TYPE(#REF!)=ERROR.TYPE(I62),FALSE))),"UNDO NOW (use button or Ctrl+Z)! CANNOT DRAG-AND-DROP CELLS",IF(NOT(NOT(ISBLANK(I62))),"input required",IF(NOT(ISNUMBER(I62)),"enter a number",IF(NOT(LEN(I62)-FIND(".",I62&amp;".")&lt;=0),"whole number only",""))))</f>
      </c>
      <c r="T62" s="149"/>
      <c r="U62" s="53"/>
      <c r="V62" s="150"/>
      <c r="W62" s="255"/>
      <c r="X62" s="150"/>
      <c r="Y62" s="22"/>
    </row>
    <row r="63" spans="1:25" ht="15" hidden="1">
      <c r="A63" s="22"/>
      <c r="B63" s="142"/>
      <c r="C63" s="20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01"/>
      <c r="D64" s="142"/>
      <c r="E64" s="144"/>
      <c r="F64" s="145"/>
      <c r="G64" s="144"/>
      <c r="H64" s="25"/>
      <c r="I64" s="146"/>
      <c r="J64" s="25"/>
      <c r="K64" s="147"/>
      <c r="L64" s="24"/>
      <c r="M64" s="145"/>
      <c r="N64" s="147"/>
      <c r="O64" s="148"/>
      <c r="P64" s="24"/>
      <c r="Q64" s="148"/>
      <c r="R64" s="149"/>
      <c r="S64" s="146"/>
      <c r="T64" s="149"/>
      <c r="U64" s="53"/>
      <c r="V64" s="150"/>
      <c r="W64" s="255"/>
      <c r="X64" s="150"/>
      <c r="Y64" s="22"/>
    </row>
    <row r="65" spans="1:25" ht="15" hidden="1">
      <c r="A65" s="22"/>
      <c r="B65" s="142"/>
      <c r="C65" s="200"/>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192"/>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192"/>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c r="A68" s="22"/>
      <c r="B68" s="142"/>
      <c r="C68" s="193"/>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21">
      <c r="A69" s="22"/>
      <c r="B69" s="142"/>
      <c r="C69" s="166" t="s">
        <v>59</v>
      </c>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7.5" customHeight="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15" hidden="1">
      <c r="A71" s="22"/>
      <c r="B71" s="142"/>
      <c r="C71" s="200"/>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c r="A72" s="22"/>
      <c r="B72" s="142"/>
      <c r="C72" s="201"/>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2"/>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8.75">
      <c r="A74" s="22"/>
      <c r="B74" s="142"/>
      <c r="C74" s="203" t="s">
        <v>58</v>
      </c>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7.5" customHeight="1">
      <c r="A75" s="22"/>
      <c r="B75" s="142"/>
      <c r="C75" s="202"/>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thickBot="1">
      <c r="A76" s="22"/>
      <c r="B76" s="142"/>
      <c r="C76" s="204"/>
      <c r="D76" s="142"/>
      <c r="E76" s="144"/>
      <c r="F76" s="145"/>
      <c r="G76" s="144"/>
      <c r="H76" s="25"/>
      <c r="I76" s="177"/>
      <c r="J76" s="25"/>
      <c r="K76" s="147"/>
      <c r="L76" s="24"/>
      <c r="M76" s="145"/>
      <c r="N76" s="147"/>
      <c r="O76" s="148"/>
      <c r="P76" s="24"/>
      <c r="Q76" s="148"/>
      <c r="R76" s="149"/>
      <c r="S76" s="146"/>
      <c r="T76" s="149"/>
      <c r="U76" s="53"/>
      <c r="V76" s="150"/>
      <c r="W76" s="255"/>
      <c r="X76" s="150"/>
      <c r="Y76" s="22"/>
    </row>
    <row r="77" spans="1:25" ht="15">
      <c r="A77" s="22"/>
      <c r="B77" s="142"/>
      <c r="C77" s="205" t="s">
        <v>57</v>
      </c>
      <c r="D77" s="142"/>
      <c r="E77" s="144"/>
      <c r="F77" s="206" t="s">
        <v>66</v>
      </c>
      <c r="G77" s="144"/>
      <c r="H77" s="25"/>
      <c r="I77" s="258"/>
      <c r="J77" s="25"/>
      <c r="K77" s="147"/>
      <c r="L77" s="24"/>
      <c r="M77" s="206"/>
      <c r="N77" s="147"/>
      <c r="O77" s="148"/>
      <c r="P77" s="179">
        <f>IF(NOT(NOT(IF(ISERROR(I77),ERROR.TYPE(#REF!)=ERROR.TYPE(I77),FALSE))),"Fail",IF(NOT(NOT(ISBLANK(I77))),"Fail",IF(NOT(ISNUMBER(I77)),"Fail",IF(NOT(LEN(I77)-FIND(".",I77&amp;".")&lt;=0),"Fail","Pass"))))</f>
      </c>
      <c r="Q77" s="148"/>
      <c r="R77" s="149"/>
      <c r="S77" s="207">
        <f>IF(NOT(NOT(IF(ISERROR(I77),ERROR.TYPE(#REF!)=ERROR.TYPE(I77),FALSE))),"UNDO NOW (use button or Ctrl+Z)! CANNOT DRAG-AND-DROP CELLS",IF(NOT(NOT(ISBLANK(I77))),"input required",IF(NOT(ISNUMBER(I77)),"enter a number",IF(NOT(LEN(I77)-FIND(".",I77&amp;".")&lt;=0),"whole number only",""))))</f>
      </c>
      <c r="T77" s="149"/>
      <c r="U77" s="53"/>
      <c r="V77" s="150"/>
      <c r="W77" s="255"/>
      <c r="X77" s="150"/>
      <c r="Y77" s="22"/>
    </row>
    <row r="78" spans="1:25" ht="15">
      <c r="A78" s="22"/>
      <c r="B78" s="142"/>
      <c r="C78" s="205" t="s">
        <v>56</v>
      </c>
      <c r="D78" s="142"/>
      <c r="E78" s="144"/>
      <c r="F78" s="206" t="s">
        <v>66</v>
      </c>
      <c r="G78" s="144"/>
      <c r="H78" s="25"/>
      <c r="I78" s="260"/>
      <c r="J78" s="25"/>
      <c r="K78" s="147"/>
      <c r="L78" s="24"/>
      <c r="M78" s="206"/>
      <c r="N78" s="147"/>
      <c r="O78" s="148"/>
      <c r="P78" s="179">
        <f>IF(NOT(NOT(IF(ISERROR(I78),ERROR.TYPE(#REF!)=ERROR.TYPE(I78),FALSE))),"Fail",IF(NOT(NOT(ISBLANK(I78))),"Fail",IF(NOT(ISNUMBER(I78)),"Fail",IF(NOT(LEN(I78)-FIND(".",I78&amp;".")&lt;=0),"Fail","Pass"))))</f>
      </c>
      <c r="Q78" s="148"/>
      <c r="R78" s="149"/>
      <c r="S78" s="207">
        <f>IF(NOT(NOT(IF(ISERROR(I78),ERROR.TYPE(#REF!)=ERROR.TYPE(I78),FALSE))),"UNDO NOW (use button or Ctrl+Z)! CANNOT DRAG-AND-DROP CELLS",IF(NOT(NOT(ISBLANK(I78))),"input required",IF(NOT(ISNUMBER(I78)),"enter a number",IF(NOT(LEN(I78)-FIND(".",I78&amp;".")&lt;=0),"whole number only",""))))</f>
      </c>
      <c r="T78" s="149"/>
      <c r="U78" s="53"/>
      <c r="V78" s="150"/>
      <c r="W78" s="255"/>
      <c r="X78" s="150"/>
      <c r="Y78" s="22"/>
    </row>
    <row r="79" spans="1:25" ht="15">
      <c r="A79" s="22"/>
      <c r="B79" s="142"/>
      <c r="C79" s="205" t="s">
        <v>55</v>
      </c>
      <c r="D79" s="142"/>
      <c r="E79" s="144"/>
      <c r="F79" s="206" t="s">
        <v>66</v>
      </c>
      <c r="G79" s="144"/>
      <c r="H79" s="25"/>
      <c r="I79" s="260"/>
      <c r="J79" s="25"/>
      <c r="K79" s="147"/>
      <c r="L79" s="24"/>
      <c r="M79" s="206"/>
      <c r="N79" s="147"/>
      <c r="O79" s="148"/>
      <c r="P79" s="179">
        <f>IF(NOT(NOT(IF(ISERROR(I79),ERROR.TYPE(#REF!)=ERROR.TYPE(I79),FALSE))),"Fail",IF(NOT(NOT(ISBLANK(I79))),"Fail",IF(NOT(ISNUMBER(I79)),"Fail",IF(NOT(LEN(I79)-FIND(".",I79&amp;".")&lt;=0),"Fail","Pass"))))</f>
      </c>
      <c r="Q79" s="148"/>
      <c r="R79" s="149"/>
      <c r="S79" s="207">
        <f>IF(NOT(NOT(IF(ISERROR(I79),ERROR.TYPE(#REF!)=ERROR.TYPE(I79),FALSE))),"UNDO NOW (use button or Ctrl+Z)! CANNOT DRAG-AND-DROP CELLS",IF(NOT(NOT(ISBLANK(I79))),"input required",IF(NOT(ISNUMBER(I79)),"enter a number",IF(NOT(LEN(I79)-FIND(".",I79&amp;".")&lt;=0),"whole number only",""))))</f>
      </c>
      <c r="T79" s="149"/>
      <c r="U79" s="53"/>
      <c r="V79" s="150"/>
      <c r="W79" s="255"/>
      <c r="X79" s="150"/>
      <c r="Y79" s="22"/>
    </row>
    <row r="80" spans="1:25" ht="15" thickBot="1">
      <c r="A80" s="22"/>
      <c r="B80" s="142"/>
      <c r="C80" s="205" t="s">
        <v>54</v>
      </c>
      <c r="D80" s="142"/>
      <c r="E80" s="144"/>
      <c r="F80" s="206" t="s">
        <v>66</v>
      </c>
      <c r="G80" s="144"/>
      <c r="H80" s="25"/>
      <c r="I80" s="259"/>
      <c r="J80" s="25"/>
      <c r="K80" s="147"/>
      <c r="L80" s="24"/>
      <c r="M80" s="206"/>
      <c r="N80" s="147"/>
      <c r="O80" s="148"/>
      <c r="P80" s="179">
        <f>IF(NOT(NOT(IF(ISERROR(I80),ERROR.TYPE(#REF!)=ERROR.TYPE(I80),FALSE))),"Fail",IF(NOT(NOT(ISBLANK(I80))),"Fail",IF(NOT(ISNUMBER(I80)),"Fail",IF(NOT(LEN(I80)-FIND(".",I80&amp;".")&lt;=0),"Fail","Pass"))))</f>
      </c>
      <c r="Q80" s="148"/>
      <c r="R80" s="149"/>
      <c r="S80" s="207">
        <f>IF(NOT(NOT(IF(ISERROR(I80),ERROR.TYPE(#REF!)=ERROR.TYPE(I80),FALSE))),"UNDO NOW (use button or Ctrl+Z)! CANNOT DRAG-AND-DROP CELLS",IF(NOT(NOT(ISBLANK(I80))),"input required",IF(NOT(ISNUMBER(I80)),"enter a number",IF(NOT(LEN(I80)-FIND(".",I80&amp;".")&lt;=0),"whole number only",""))))</f>
      </c>
      <c r="T80" s="149"/>
      <c r="U80" s="53"/>
      <c r="V80" s="150"/>
      <c r="W80" s="255"/>
      <c r="X80" s="150"/>
      <c r="Y80" s="22"/>
    </row>
    <row r="81" spans="1:25" ht="15" hidden="1">
      <c r="A81" s="22"/>
      <c r="B81" s="142"/>
      <c r="C81" s="204"/>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hidden="1" thickBot="1">
      <c r="A82" s="22"/>
      <c r="B82" s="142"/>
      <c r="C82" s="226"/>
      <c r="D82" s="142"/>
      <c r="E82" s="144"/>
      <c r="F82" s="145"/>
      <c r="G82" s="144"/>
      <c r="H82" s="25"/>
      <c r="I82" s="177"/>
      <c r="J82" s="25"/>
      <c r="K82" s="147"/>
      <c r="L82" s="24"/>
      <c r="M82" s="145"/>
      <c r="N82" s="147"/>
      <c r="O82" s="148"/>
      <c r="P82" s="24"/>
      <c r="Q82" s="148"/>
      <c r="R82" s="149"/>
      <c r="S82" s="146"/>
      <c r="T82" s="149"/>
      <c r="U82" s="53"/>
      <c r="V82" s="150"/>
      <c r="W82" s="255"/>
      <c r="X82" s="150"/>
      <c r="Y82" s="22"/>
    </row>
    <row r="83" spans="1:25" ht="15" thickBot="1">
      <c r="A83" s="22"/>
      <c r="B83" s="142"/>
      <c r="C83" s="227" t="s">
        <v>53</v>
      </c>
      <c r="D83" s="142"/>
      <c r="E83" s="144"/>
      <c r="F83" s="206" t="s">
        <v>66</v>
      </c>
      <c r="G83" s="144"/>
      <c r="H83" s="25"/>
      <c r="I83" s="233">
        <f>IF(AND(OR(ISBLANK(I77),I77=""),OR(ISBLANK(I78),I78=""),OR(ISBLANK(I79),I79=""),OR(ISBLANK(I80),I80="")),"",SUM(I77,I78,I79,I80))</f>
      </c>
      <c r="J83" s="25"/>
      <c r="K83" s="147"/>
      <c r="L83" s="24"/>
      <c r="M83" s="206"/>
      <c r="N83" s="147"/>
      <c r="O83" s="148"/>
      <c r="P83" s="179">
        <f>IF(NOT(NOT(I83="")),"Fail",IF(NOT(I83&gt;0),"Fail","Pass"))</f>
      </c>
      <c r="Q83" s="148"/>
      <c r="R83" s="149"/>
      <c r="S83" s="207">
        <f>IF(NOT(NOT(I83="")),"must be &gt; 0",IF(NOT(I83&gt;0),"must be &gt; 0",""))</f>
      </c>
      <c r="T83" s="149"/>
      <c r="U83" s="53"/>
      <c r="V83" s="150"/>
      <c r="W83" s="255"/>
      <c r="X83" s="150"/>
      <c r="Y83" s="22"/>
    </row>
    <row r="84" spans="1:25" ht="15" hidden="1">
      <c r="A84" s="22"/>
      <c r="B84" s="142"/>
      <c r="C84" s="226"/>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customHeight="1">
      <c r="A85" s="22"/>
      <c r="B85" s="142"/>
      <c r="C85" s="201"/>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201"/>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15" hidden="1">
      <c r="A87" s="22"/>
      <c r="B87" s="142"/>
      <c r="C87" s="202"/>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18.75">
      <c r="A88" s="22"/>
      <c r="B88" s="142"/>
      <c r="C88" s="203" t="s">
        <v>52</v>
      </c>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7.5" customHeight="1">
      <c r="A89" s="22"/>
      <c r="B89" s="142"/>
      <c r="C89" s="202"/>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thickBot="1">
      <c r="A90" s="22"/>
      <c r="B90" s="142"/>
      <c r="C90" s="204"/>
      <c r="D90" s="142"/>
      <c r="E90" s="144"/>
      <c r="F90" s="145"/>
      <c r="G90" s="144"/>
      <c r="H90" s="25"/>
      <c r="I90" s="177"/>
      <c r="J90" s="25"/>
      <c r="K90" s="147"/>
      <c r="L90" s="24"/>
      <c r="M90" s="145"/>
      <c r="N90" s="147"/>
      <c r="O90" s="148"/>
      <c r="P90" s="24"/>
      <c r="Q90" s="148"/>
      <c r="R90" s="149"/>
      <c r="S90" s="146"/>
      <c r="T90" s="149"/>
      <c r="U90" s="53"/>
      <c r="V90" s="150"/>
      <c r="W90" s="255"/>
      <c r="X90" s="150"/>
      <c r="Y90" s="22"/>
    </row>
    <row r="91" spans="1:25" ht="15" thickBot="1">
      <c r="A91" s="22"/>
      <c r="B91" s="142"/>
      <c r="C91" s="205" t="s">
        <v>51</v>
      </c>
      <c r="D91" s="142"/>
      <c r="E91" s="144"/>
      <c r="F91" s="206" t="s">
        <v>66</v>
      </c>
      <c r="G91" s="144"/>
      <c r="H91" s="25"/>
      <c r="I91" s="261"/>
      <c r="J91" s="25"/>
      <c r="K91" s="147"/>
      <c r="L91" s="24"/>
      <c r="M91" s="206"/>
      <c r="N91" s="147"/>
      <c r="O91" s="148"/>
      <c r="P91" s="179">
        <f>IF(NOT(NOT(IF(ISERROR(I91),ERROR.TYPE(#REF!)=ERROR.TYPE(I91),FALSE))),"Fail",IF(NOT(NOT(ISBLANK(I91))),"Fail",IF(NOT(ISNUMBER(I91)),"Fail",IF(NOT(LEN(I91)-FIND(".",I91&amp;".")&lt;=0),"Fail","Pass"))))</f>
      </c>
      <c r="Q91" s="148"/>
      <c r="R91" s="149"/>
      <c r="S91" s="207">
        <f>IF(NOT(NOT(IF(ISERROR(I91),ERROR.TYPE(#REF!)=ERROR.TYPE(I91),FALSE))),"UNDO NOW (use button or Ctrl+Z)! CANNOT DRAG-AND-DROP CELLS",IF(NOT(NOT(ISBLANK(I91))),"input required",IF(NOT(ISNUMBER(I91)),"enter a number",IF(NOT(LEN(I91)-FIND(".",I91&amp;".")&lt;=0),"whole number only",""))))</f>
      </c>
      <c r="T91" s="149"/>
      <c r="U91" s="53"/>
      <c r="V91" s="150"/>
      <c r="W91" s="255"/>
      <c r="X91" s="150"/>
      <c r="Y91" s="22"/>
    </row>
    <row r="92" spans="1:25" ht="15" hidden="1">
      <c r="A92" s="22"/>
      <c r="B92" s="142"/>
      <c r="C92" s="204"/>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15" customHeight="1">
      <c r="A93" s="22"/>
      <c r="B93" s="142"/>
      <c r="C93" s="201"/>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thickBot="1">
      <c r="A95" s="22"/>
      <c r="B95" s="142"/>
      <c r="C95" s="226"/>
      <c r="D95" s="142"/>
      <c r="E95" s="144"/>
      <c r="F95" s="145"/>
      <c r="G95" s="144"/>
      <c r="H95" s="25"/>
      <c r="I95" s="177"/>
      <c r="J95" s="25"/>
      <c r="K95" s="147"/>
      <c r="L95" s="24"/>
      <c r="M95" s="145"/>
      <c r="N95" s="147"/>
      <c r="O95" s="148"/>
      <c r="P95" s="24"/>
      <c r="Q95" s="148"/>
      <c r="R95" s="149"/>
      <c r="S95" s="146"/>
      <c r="T95" s="149"/>
      <c r="U95" s="53"/>
      <c r="V95" s="150"/>
      <c r="W95" s="255"/>
      <c r="X95" s="150"/>
      <c r="Y95" s="22"/>
    </row>
    <row r="96" spans="1:25" ht="15" thickBot="1">
      <c r="A96" s="22"/>
      <c r="B96" s="142"/>
      <c r="C96" s="227" t="s">
        <v>50</v>
      </c>
      <c r="D96" s="142"/>
      <c r="E96" s="144"/>
      <c r="F96" s="206" t="s">
        <v>66</v>
      </c>
      <c r="G96" s="144"/>
      <c r="H96" s="25"/>
      <c r="I96" s="233">
        <f>IF(AND(OR(ISBLANK(I83),I83=""),OR(ISBLANK(I91),I91="")),"",SUM(I83,I91))</f>
      </c>
      <c r="J96" s="25"/>
      <c r="K96" s="147"/>
      <c r="L96" s="24"/>
      <c r="M96" s="206"/>
      <c r="N96" s="147"/>
      <c r="O96" s="148"/>
      <c r="P96" s="179">
        <f>IF(NOT(NOT(I96="")),"Fail",IF(NOT(I96&gt;0),"Fail","Pass"))</f>
      </c>
      <c r="Q96" s="148"/>
      <c r="R96" s="149"/>
      <c r="S96" s="207">
        <f>IF(NOT(NOT(I96="")),"must be &gt; 0",IF(NOT(I96&gt;0),"must be &gt; 0",""))</f>
      </c>
      <c r="T96" s="149"/>
      <c r="U96" s="53"/>
      <c r="V96" s="150"/>
      <c r="W96" s="255"/>
      <c r="X96" s="150"/>
      <c r="Y96" s="22"/>
    </row>
    <row r="97" spans="1:25" ht="15" hidden="1">
      <c r="A97" s="22"/>
      <c r="B97" s="142"/>
      <c r="C97" s="226"/>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customHeight="1">
      <c r="A98" s="22"/>
      <c r="B98" s="142"/>
      <c r="C98" s="201"/>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hidden="1">
      <c r="A99" s="22"/>
      <c r="B99" s="142"/>
      <c r="C99" s="200"/>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customHeight="1">
      <c r="A100" s="22"/>
      <c r="B100" s="142"/>
      <c r="C100" s="192"/>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hidden="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3"/>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21">
      <c r="A103" s="22"/>
      <c r="B103" s="142"/>
      <c r="C103" s="166" t="s">
        <v>49</v>
      </c>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7.5" customHeight="1">
      <c r="A104" s="22"/>
      <c r="B104" s="142"/>
      <c r="C104" s="193"/>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15" hidden="1">
      <c r="A105" s="22"/>
      <c r="B105" s="142"/>
      <c r="C105" s="200"/>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1"/>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2"/>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8.75">
      <c r="A108" s="22"/>
      <c r="B108" s="142"/>
      <c r="C108" s="203" t="s">
        <v>48</v>
      </c>
      <c r="D108" s="142"/>
      <c r="E108" s="144"/>
      <c r="F108" s="145"/>
      <c r="G108" s="144"/>
      <c r="H108" s="25"/>
      <c r="I108" s="146"/>
      <c r="J108" s="25"/>
      <c r="K108" s="147"/>
      <c r="L108" s="24"/>
      <c r="M108" s="145"/>
      <c r="N108" s="147"/>
      <c r="O108" s="148"/>
      <c r="P108" s="24"/>
      <c r="Q108" s="148"/>
      <c r="R108" s="149"/>
      <c r="S108" s="146"/>
      <c r="T108" s="149"/>
      <c r="U108" s="53"/>
      <c r="V108" s="150"/>
      <c r="W108" s="255"/>
      <c r="X108" s="150"/>
      <c r="Y108" s="22"/>
    </row>
    <row r="109" spans="1:25" ht="7.5" customHeight="1">
      <c r="A109" s="22"/>
      <c r="B109" s="142"/>
      <c r="C109" s="202"/>
      <c r="D109" s="142"/>
      <c r="E109" s="144"/>
      <c r="F109" s="145"/>
      <c r="G109" s="144"/>
      <c r="H109" s="25"/>
      <c r="I109" s="146"/>
      <c r="J109" s="25"/>
      <c r="K109" s="147"/>
      <c r="L109" s="24"/>
      <c r="M109" s="145"/>
      <c r="N109" s="147"/>
      <c r="O109" s="148"/>
      <c r="P109" s="24"/>
      <c r="Q109" s="148"/>
      <c r="R109" s="149"/>
      <c r="S109" s="146"/>
      <c r="T109" s="149"/>
      <c r="U109" s="53"/>
      <c r="V109" s="150"/>
      <c r="W109" s="255"/>
      <c r="X109" s="150"/>
      <c r="Y109" s="22"/>
    </row>
    <row r="110" spans="1:25" ht="15" hidden="1" thickBot="1">
      <c r="A110" s="22"/>
      <c r="B110" s="142"/>
      <c r="C110" s="204"/>
      <c r="D110" s="142"/>
      <c r="E110" s="144"/>
      <c r="F110" s="145"/>
      <c r="G110" s="144"/>
      <c r="H110" s="25"/>
      <c r="I110" s="177"/>
      <c r="J110" s="25"/>
      <c r="K110" s="147"/>
      <c r="L110" s="24"/>
      <c r="M110" s="145"/>
      <c r="N110" s="147"/>
      <c r="O110" s="148"/>
      <c r="P110" s="24"/>
      <c r="Q110" s="148"/>
      <c r="R110" s="149"/>
      <c r="S110" s="146"/>
      <c r="T110" s="149"/>
      <c r="U110" s="53"/>
      <c r="V110" s="150"/>
      <c r="W110" s="255"/>
      <c r="X110" s="150"/>
      <c r="Y110" s="22"/>
    </row>
    <row r="111" spans="1:25" ht="15">
      <c r="A111" s="22"/>
      <c r="B111" s="142"/>
      <c r="C111" s="205" t="s">
        <v>47</v>
      </c>
      <c r="D111" s="142"/>
      <c r="E111" s="144"/>
      <c r="F111" s="206" t="s">
        <v>66</v>
      </c>
      <c r="G111" s="144"/>
      <c r="H111" s="25"/>
      <c r="I111" s="258"/>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c r="A112" s="22"/>
      <c r="B112" s="142"/>
      <c r="C112" s="205" t="s">
        <v>46</v>
      </c>
      <c r="D112" s="142"/>
      <c r="E112" s="144"/>
      <c r="F112" s="206" t="s">
        <v>66</v>
      </c>
      <c r="G112" s="144"/>
      <c r="H112" s="25"/>
      <c r="I112" s="260"/>
      <c r="J112" s="25"/>
      <c r="K112" s="147"/>
      <c r="L112" s="24"/>
      <c r="M112" s="206"/>
      <c r="N112" s="147"/>
      <c r="O112" s="148"/>
      <c r="P112" s="179">
        <f>IF(NOT(NOT(IF(ISERROR(I112),ERROR.TYPE(#REF!)=ERROR.TYPE(I112),FALSE))),"Fail",IF(NOT(NOT(ISBLANK(I112))),"Fail",IF(NOT(ISNUMBER(I112)),"Fail",IF(NOT(LEN(I112)-FIND(".",I112&amp;".")&lt;=0),"Fail","Pass"))))</f>
      </c>
      <c r="Q112" s="148"/>
      <c r="R112" s="149"/>
      <c r="S112" s="207">
        <f>IF(NOT(NOT(IF(ISERROR(I112),ERROR.TYPE(#REF!)=ERROR.TYPE(I112),FALSE))),"UNDO NOW (use button or Ctrl+Z)! CANNOT DRAG-AND-DROP CELLS",IF(NOT(NOT(ISBLANK(I112))),"input required",IF(NOT(ISNUMBER(I112)),"enter a number",IF(NOT(LEN(I112)-FIND(".",I112&amp;".")&lt;=0),"whole number only",""))))</f>
      </c>
      <c r="T112" s="149"/>
      <c r="U112" s="53"/>
      <c r="V112" s="150"/>
      <c r="W112" s="255"/>
      <c r="X112" s="150"/>
      <c r="Y112" s="22"/>
    </row>
    <row r="113" spans="1:25" ht="15" thickBot="1">
      <c r="A113" s="22"/>
      <c r="B113" s="142"/>
      <c r="C113" s="205" t="s">
        <v>45</v>
      </c>
      <c r="D113" s="142"/>
      <c r="E113" s="144"/>
      <c r="F113" s="206" t="s">
        <v>66</v>
      </c>
      <c r="G113" s="144"/>
      <c r="H113" s="25"/>
      <c r="I113" s="259"/>
      <c r="J113" s="25"/>
      <c r="K113" s="147"/>
      <c r="L113" s="24"/>
      <c r="M113" s="206"/>
      <c r="N113" s="147"/>
      <c r="O113" s="148"/>
      <c r="P113" s="179">
        <f>IF(NOT(NOT(IF(ISERROR(I113),ERROR.TYPE(#REF!)=ERROR.TYPE(I113),FALSE))),"Fail",IF(NOT(NOT(ISBLANK(I113))),"Fail",IF(NOT(ISNUMBER(I113)),"Fail",IF(NOT(LEN(I113)-FIND(".",I113&amp;".")&lt;=0),"Fail","Pass"))))</f>
      </c>
      <c r="Q113" s="148"/>
      <c r="R113" s="149"/>
      <c r="S113" s="207">
        <f>IF(NOT(NOT(IF(ISERROR(I113),ERROR.TYPE(#REF!)=ERROR.TYPE(I113),FALSE))),"UNDO NOW (use button or Ctrl+Z)! CANNOT DRAG-AND-DROP CELLS",IF(NOT(NOT(ISBLANK(I113))),"input required",IF(NOT(ISNUMBER(I113)),"enter a number",IF(NOT(LEN(I113)-FIND(".",I113&amp;".")&lt;=0),"whole number only",""))))</f>
      </c>
      <c r="T113" s="149"/>
      <c r="U113" s="53"/>
      <c r="V113" s="150"/>
      <c r="W113" s="255"/>
      <c r="X113" s="150"/>
      <c r="Y113" s="22"/>
    </row>
    <row r="114" spans="1:25" ht="15" hidden="1">
      <c r="A114" s="22"/>
      <c r="B114" s="142"/>
      <c r="C114" s="204"/>
      <c r="D114" s="142"/>
      <c r="E114" s="144"/>
      <c r="F114" s="145"/>
      <c r="G114" s="144"/>
      <c r="H114" s="25"/>
      <c r="I114" s="146"/>
      <c r="J114" s="25"/>
      <c r="K114" s="147"/>
      <c r="L114" s="24"/>
      <c r="M114" s="145"/>
      <c r="N114" s="147"/>
      <c r="O114" s="148"/>
      <c r="P114" s="24"/>
      <c r="Q114" s="148"/>
      <c r="R114" s="149"/>
      <c r="S114" s="146"/>
      <c r="T114" s="149"/>
      <c r="U114" s="53"/>
      <c r="V114" s="150"/>
      <c r="W114" s="255"/>
      <c r="X114" s="150"/>
      <c r="Y114" s="22"/>
    </row>
    <row r="115" spans="1:25" ht="15" hidden="1" thickBot="1">
      <c r="A115" s="22"/>
      <c r="B115" s="142"/>
      <c r="C115" s="226"/>
      <c r="D115" s="142"/>
      <c r="E115" s="144"/>
      <c r="F115" s="145"/>
      <c r="G115" s="144"/>
      <c r="H115" s="25"/>
      <c r="I115" s="177"/>
      <c r="J115" s="25"/>
      <c r="K115" s="147"/>
      <c r="L115" s="24"/>
      <c r="M115" s="145"/>
      <c r="N115" s="147"/>
      <c r="O115" s="148"/>
      <c r="P115" s="24"/>
      <c r="Q115" s="148"/>
      <c r="R115" s="149"/>
      <c r="S115" s="146"/>
      <c r="T115" s="149"/>
      <c r="U115" s="53"/>
      <c r="V115" s="150"/>
      <c r="W115" s="255"/>
      <c r="X115" s="150"/>
      <c r="Y115" s="22"/>
    </row>
    <row r="116" spans="1:25" ht="15" thickBot="1">
      <c r="A116" s="22"/>
      <c r="B116" s="142"/>
      <c r="C116" s="227" t="s">
        <v>44</v>
      </c>
      <c r="D116" s="142"/>
      <c r="E116" s="144"/>
      <c r="F116" s="206" t="s">
        <v>66</v>
      </c>
      <c r="G116" s="144"/>
      <c r="H116" s="25"/>
      <c r="I116" s="233">
        <f>IF(AND(OR(ISBLANK(I111),I111=""),OR(ISBLANK(I112),I112=""),OR(ISBLANK(I113),I113="")),"",SUM(I111,I112,I113))</f>
      </c>
      <c r="J116" s="25"/>
      <c r="K116" s="147"/>
      <c r="L116" s="24"/>
      <c r="M116" s="206"/>
      <c r="N116" s="147"/>
      <c r="O116" s="148"/>
      <c r="P116" s="179">
        <f>IF(NOT(NOT(I116="")),"Fail",IF(NOT(I116&gt;0),"Fail","Pass"))</f>
      </c>
      <c r="Q116" s="148"/>
      <c r="R116" s="149"/>
      <c r="S116" s="207">
        <f>IF(NOT(NOT(I116="")),"must be &gt; 0",IF(NOT(I116&gt;0),"must be &gt; 0",""))</f>
      </c>
      <c r="T116" s="149"/>
      <c r="U116" s="53"/>
      <c r="V116" s="150"/>
      <c r="W116" s="255"/>
      <c r="X116" s="150"/>
      <c r="Y116" s="22"/>
    </row>
    <row r="117" spans="1:25" ht="15" hidden="1">
      <c r="A117" s="22"/>
      <c r="B117" s="142"/>
      <c r="C117" s="226"/>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201"/>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201"/>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8.75">
      <c r="A121" s="22"/>
      <c r="B121" s="142"/>
      <c r="C121" s="203" t="s">
        <v>43</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202"/>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thickBot="1">
      <c r="A123" s="22"/>
      <c r="B123" s="142"/>
      <c r="C123" s="204"/>
      <c r="D123" s="142"/>
      <c r="E123" s="144"/>
      <c r="F123" s="145"/>
      <c r="G123" s="144"/>
      <c r="H123" s="25"/>
      <c r="I123" s="177"/>
      <c r="J123" s="25"/>
      <c r="K123" s="147"/>
      <c r="L123" s="24"/>
      <c r="M123" s="145"/>
      <c r="N123" s="147"/>
      <c r="O123" s="148"/>
      <c r="P123" s="24"/>
      <c r="Q123" s="148"/>
      <c r="R123" s="149"/>
      <c r="S123" s="146"/>
      <c r="T123" s="149"/>
      <c r="U123" s="53"/>
      <c r="V123" s="150"/>
      <c r="W123" s="255"/>
      <c r="X123" s="150"/>
      <c r="Y123" s="22"/>
    </row>
    <row r="124" spans="1:25" ht="15">
      <c r="A124" s="22"/>
      <c r="B124" s="142"/>
      <c r="C124" s="205" t="s">
        <v>42</v>
      </c>
      <c r="D124" s="142"/>
      <c r="E124" s="144"/>
      <c r="F124" s="206" t="s">
        <v>66</v>
      </c>
      <c r="G124" s="144"/>
      <c r="H124" s="25"/>
      <c r="I124" s="258"/>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thickBot="1">
      <c r="A125" s="22"/>
      <c r="B125" s="142"/>
      <c r="C125" s="205" t="s">
        <v>41</v>
      </c>
      <c r="D125" s="142"/>
      <c r="E125" s="144"/>
      <c r="F125" s="206" t="s">
        <v>66</v>
      </c>
      <c r="G125" s="144"/>
      <c r="H125" s="25"/>
      <c r="I125" s="259"/>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hidden="1">
      <c r="A126" s="22"/>
      <c r="B126" s="142"/>
      <c r="C126" s="204"/>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thickBot="1">
      <c r="A127" s="22"/>
      <c r="B127" s="142"/>
      <c r="C127" s="226"/>
      <c r="D127" s="142"/>
      <c r="E127" s="144"/>
      <c r="F127" s="145"/>
      <c r="G127" s="144"/>
      <c r="H127" s="25"/>
      <c r="I127" s="177"/>
      <c r="J127" s="25"/>
      <c r="K127" s="147"/>
      <c r="L127" s="24"/>
      <c r="M127" s="145"/>
      <c r="N127" s="147"/>
      <c r="O127" s="148"/>
      <c r="P127" s="24"/>
      <c r="Q127" s="148"/>
      <c r="R127" s="149"/>
      <c r="S127" s="146"/>
      <c r="T127" s="149"/>
      <c r="U127" s="53"/>
      <c r="V127" s="150"/>
      <c r="W127" s="255"/>
      <c r="X127" s="150"/>
      <c r="Y127" s="22"/>
    </row>
    <row r="128" spans="1:25" ht="15" thickBot="1">
      <c r="A128" s="22"/>
      <c r="B128" s="142"/>
      <c r="C128" s="227" t="s">
        <v>39</v>
      </c>
      <c r="D128" s="142"/>
      <c r="E128" s="144"/>
      <c r="F128" s="206" t="s">
        <v>66</v>
      </c>
      <c r="G128" s="144"/>
      <c r="H128" s="25"/>
      <c r="I128" s="233">
        <f>IF(AND(OR(ISBLANK(I124),I124=""),OR(ISBLANK(I125),I125="")),"",SUM(I124,I125))</f>
      </c>
      <c r="J128" s="25"/>
      <c r="K128" s="147"/>
      <c r="L128" s="24"/>
      <c r="M128" s="206"/>
      <c r="N128" s="147"/>
      <c r="O128" s="148"/>
      <c r="P128" s="179">
        <f>IF(NOT(NOT(I128="")),"Fail",IF(NOT(I128&gt;=0),"Fail","Pass"))</f>
      </c>
      <c r="Q128" s="148"/>
      <c r="R128" s="149"/>
      <c r="S128" s="207">
        <f>IF(NOT(NOT(I128="")),"must be &gt;= 0",IF(NOT(I128&gt;=0),"must be &gt;= 0",""))</f>
      </c>
      <c r="T128" s="149"/>
      <c r="U128" s="53"/>
      <c r="V128" s="150"/>
      <c r="W128" s="255"/>
      <c r="X128" s="150"/>
      <c r="Y128" s="22"/>
    </row>
    <row r="129" spans="1:25" ht="15" hidden="1">
      <c r="A129" s="22"/>
      <c r="B129" s="142"/>
      <c r="C129" s="226"/>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15" customHeight="1">
      <c r="A130" s="22"/>
      <c r="B130" s="142"/>
      <c r="C130" s="201"/>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thickBot="1">
      <c r="A132" s="22"/>
      <c r="B132" s="142"/>
      <c r="C132" s="226"/>
      <c r="D132" s="142"/>
      <c r="E132" s="144"/>
      <c r="F132" s="145"/>
      <c r="G132" s="144"/>
      <c r="H132" s="25"/>
      <c r="I132" s="177"/>
      <c r="J132" s="25"/>
      <c r="K132" s="147"/>
      <c r="L132" s="24"/>
      <c r="M132" s="145"/>
      <c r="N132" s="147"/>
      <c r="O132" s="148"/>
      <c r="P132" s="24"/>
      <c r="Q132" s="148"/>
      <c r="R132" s="149"/>
      <c r="S132" s="146"/>
      <c r="T132" s="149"/>
      <c r="U132" s="53"/>
      <c r="V132" s="150"/>
      <c r="W132" s="255"/>
      <c r="X132" s="150"/>
      <c r="Y132" s="22"/>
    </row>
    <row r="133" spans="1:25" ht="15" thickBot="1">
      <c r="A133" s="22"/>
      <c r="B133" s="142"/>
      <c r="C133" s="227" t="s">
        <v>38</v>
      </c>
      <c r="D133" s="142"/>
      <c r="E133" s="144"/>
      <c r="F133" s="206" t="s">
        <v>66</v>
      </c>
      <c r="G133" s="144"/>
      <c r="H133" s="25"/>
      <c r="I133" s="233">
        <f>IF(AND(OR(ISBLANK(I116),I116=""),OR(ISBLANK(I128),I128="")),"",SUM(I116,I128))</f>
      </c>
      <c r="J133" s="25"/>
      <c r="K133" s="147"/>
      <c r="L133" s="24"/>
      <c r="M133" s="206"/>
      <c r="N133" s="147"/>
      <c r="O133" s="148"/>
      <c r="P133" s="179">
        <f>IF(TRUE,"PassBecauseNoConstraints","ERROR")</f>
      </c>
      <c r="Q133" s="148"/>
      <c r="R133" s="149"/>
      <c r="S133" s="207">
        <f>IF(TRUE,"","ERROR")</f>
      </c>
      <c r="T133" s="149"/>
      <c r="U133" s="53"/>
      <c r="V133" s="150"/>
      <c r="W133" s="255"/>
      <c r="X133" s="150"/>
      <c r="Y133" s="22"/>
    </row>
    <row r="134" spans="1:25" ht="15" hidden="1">
      <c r="A134" s="22"/>
      <c r="B134" s="142"/>
      <c r="C134" s="226"/>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customHeight="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2"/>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8.75">
      <c r="A138" s="22"/>
      <c r="B138" s="142"/>
      <c r="C138" s="203" t="s">
        <v>37</v>
      </c>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7.5" customHeight="1">
      <c r="A139" s="22"/>
      <c r="B139" s="142"/>
      <c r="C139" s="20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thickBot="1">
      <c r="A140" s="22"/>
      <c r="B140" s="142"/>
      <c r="C140" s="204"/>
      <c r="D140" s="142"/>
      <c r="E140" s="144"/>
      <c r="F140" s="145"/>
      <c r="G140" s="144"/>
      <c r="H140" s="25"/>
      <c r="I140" s="177"/>
      <c r="J140" s="25"/>
      <c r="K140" s="147"/>
      <c r="L140" s="24"/>
      <c r="M140" s="145"/>
      <c r="N140" s="147"/>
      <c r="O140" s="148"/>
      <c r="P140" s="24"/>
      <c r="Q140" s="148"/>
      <c r="R140" s="149"/>
      <c r="S140" s="146"/>
      <c r="T140" s="149"/>
      <c r="U140" s="53"/>
      <c r="V140" s="150"/>
      <c r="W140" s="255"/>
      <c r="X140" s="150"/>
      <c r="Y140" s="22"/>
    </row>
    <row r="141" spans="1:25" ht="15">
      <c r="A141" s="22"/>
      <c r="B141" s="142"/>
      <c r="C141" s="205" t="s">
        <v>36</v>
      </c>
      <c r="D141" s="142"/>
      <c r="E141" s="144"/>
      <c r="F141" s="206" t="s">
        <v>66</v>
      </c>
      <c r="G141" s="144"/>
      <c r="H141" s="25"/>
      <c r="I141" s="258"/>
      <c r="J141" s="25"/>
      <c r="K141" s="147"/>
      <c r="L141" s="24"/>
      <c r="M141" s="206"/>
      <c r="N141" s="147"/>
      <c r="O141" s="148"/>
      <c r="P141" s="179">
        <f>IF(NOT(NOT(IF(ISERROR(I141),ERROR.TYPE(#REF!)=ERROR.TYPE(I141),FALSE))),"Fail",IF(NOT(NOT(ISBLANK(I141))),"Fail",IF(NOT(ISNUMBER(I141)),"Fail",IF(NOT(LEN(I141)-FIND(".",I141&amp;".")&lt;=0),"Fail","Pass"))))</f>
      </c>
      <c r="Q141" s="148"/>
      <c r="R141" s="149"/>
      <c r="S141" s="207">
        <f>IF(NOT(NOT(IF(ISERROR(I141),ERROR.TYPE(#REF!)=ERROR.TYPE(I141),FALSE))),"UNDO NOW (use button or Ctrl+Z)! CANNOT DRAG-AND-DROP CELLS",IF(NOT(NOT(ISBLANK(I141))),"input required",IF(NOT(ISNUMBER(I141)),"enter a number",IF(NOT(LEN(I141)-FIND(".",I141&amp;".")&lt;=0),"whole number only",""))))</f>
      </c>
      <c r="T141" s="149"/>
      <c r="U141" s="53"/>
      <c r="V141" s="150"/>
      <c r="W141" s="255"/>
      <c r="X141" s="150"/>
      <c r="Y141" s="22"/>
    </row>
    <row r="142" spans="1:25" ht="15" thickBot="1">
      <c r="A142" s="22"/>
      <c r="B142" s="142"/>
      <c r="C142" s="205" t="s">
        <v>35</v>
      </c>
      <c r="D142" s="142"/>
      <c r="E142" s="144"/>
      <c r="F142" s="206" t="s">
        <v>66</v>
      </c>
      <c r="G142" s="144"/>
      <c r="H142" s="25"/>
      <c r="I142" s="259"/>
      <c r="J142" s="25"/>
      <c r="K142" s="147"/>
      <c r="L142" s="24"/>
      <c r="M142" s="206"/>
      <c r="N142" s="147"/>
      <c r="O142" s="148"/>
      <c r="P142" s="179">
        <f>IF(NOT(NOT(IF(ISERROR(I142),ERROR.TYPE(#REF!)=ERROR.TYPE(I142),FALSE))),"Fail",IF(NOT(NOT(ISBLANK(I142))),"Fail",IF(NOT(ISNUMBER(I142)),"Fail",IF(NOT(LEN(I142)-FIND(".",I142&amp;".")&lt;=0),"Fail","Pass"))))</f>
      </c>
      <c r="Q142" s="148"/>
      <c r="R142" s="149"/>
      <c r="S142" s="207">
        <f>IF(NOT(NOT(IF(ISERROR(I142),ERROR.TYPE(#REF!)=ERROR.TYPE(I142),FALSE))),"UNDO NOW (use button or Ctrl+Z)! CANNOT DRAG-AND-DROP CELLS",IF(NOT(NOT(ISBLANK(I142))),"input required",IF(NOT(ISNUMBER(I142)),"enter a number",IF(NOT(LEN(I142)-FIND(".",I142&amp;".")&lt;=0),"whole number only",""))))</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34</v>
      </c>
      <c r="D145" s="142"/>
      <c r="E145" s="144"/>
      <c r="F145" s="206" t="s">
        <v>66</v>
      </c>
      <c r="G145" s="144"/>
      <c r="H145" s="25"/>
      <c r="I145" s="233">
        <f>IF(AND(OR(ISBLANK(I141),I141=""),OR(ISBLANK(I142),I142="")),"",SUM(I141,I142))</f>
      </c>
      <c r="J145" s="25"/>
      <c r="K145" s="147"/>
      <c r="L145" s="24"/>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thickBot="1">
      <c r="A149" s="22"/>
      <c r="B149" s="142"/>
      <c r="C149" s="226"/>
      <c r="D149" s="142"/>
      <c r="E149" s="144"/>
      <c r="F149" s="145"/>
      <c r="G149" s="144"/>
      <c r="H149" s="25"/>
      <c r="I149" s="177"/>
      <c r="J149" s="25"/>
      <c r="K149" s="147"/>
      <c r="L149" s="24"/>
      <c r="M149" s="145"/>
      <c r="N149" s="147"/>
      <c r="O149" s="148"/>
      <c r="P149" s="24"/>
      <c r="Q149" s="148"/>
      <c r="R149" s="149"/>
      <c r="S149" s="146"/>
      <c r="T149" s="149"/>
      <c r="U149" s="53"/>
      <c r="V149" s="150"/>
      <c r="W149" s="255"/>
      <c r="X149" s="150"/>
      <c r="Y149" s="22"/>
    </row>
    <row r="150" spans="1:25" ht="15" thickBot="1">
      <c r="A150" s="22"/>
      <c r="B150" s="142"/>
      <c r="C150" s="227" t="s">
        <v>31</v>
      </c>
      <c r="D150" s="142"/>
      <c r="E150" s="144"/>
      <c r="F150" s="206" t="s">
        <v>66</v>
      </c>
      <c r="G150" s="144"/>
      <c r="H150" s="25"/>
      <c r="I150" s="233">
        <f>IF(AND(OR(ISBLANK(I116),I116=""),OR(ISBLANK(I128),I128=""),OR(ISBLANK(I145),I145="")),"",SUM(I116,I128,I145))</f>
      </c>
      <c r="J150" s="25"/>
      <c r="K150" s="147"/>
      <c r="L150" s="24"/>
      <c r="M150" s="206"/>
      <c r="N150" s="147"/>
      <c r="O150" s="148"/>
      <c r="P150" s="179">
        <f>IF(TRUE,"PassBecauseNoConstraints","ERROR")</f>
      </c>
      <c r="Q150" s="148"/>
      <c r="R150" s="149"/>
      <c r="S150" s="207">
        <f>IF(TRUE,"","ERROR")</f>
      </c>
      <c r="T150" s="149"/>
      <c r="U150" s="53"/>
      <c r="V150" s="150"/>
      <c r="W150" s="255"/>
      <c r="X150" s="150"/>
      <c r="Y150" s="22"/>
    </row>
    <row r="151" spans="1:25" ht="15" hidden="1">
      <c r="A151" s="22"/>
      <c r="B151" s="142"/>
      <c r="C151" s="226"/>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customHeight="1">
      <c r="A152" s="22"/>
      <c r="B152" s="142"/>
      <c r="C152" s="201"/>
      <c r="D152" s="142"/>
      <c r="E152" s="144"/>
      <c r="F152" s="145"/>
      <c r="G152" s="144"/>
      <c r="H152" s="25"/>
      <c r="I152" s="146"/>
      <c r="J152" s="25"/>
      <c r="K152" s="147"/>
      <c r="L152" s="24"/>
      <c r="M152" s="145"/>
      <c r="N152" s="147"/>
      <c r="O152" s="148"/>
      <c r="P152" s="24"/>
      <c r="Q152" s="148"/>
      <c r="R152" s="149"/>
      <c r="S152" s="146"/>
      <c r="T152" s="149"/>
      <c r="U152" s="53"/>
      <c r="V152" s="150"/>
      <c r="W152" s="255"/>
      <c r="X152" s="150"/>
      <c r="Y152" s="22"/>
    </row>
    <row r="153" spans="1:25" ht="15" hidden="1">
      <c r="A153" s="22"/>
      <c r="B153" s="142"/>
      <c r="C153" s="201"/>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hidden="1" thickBot="1">
      <c r="A154" s="22"/>
      <c r="B154" s="142"/>
      <c r="C154" s="226"/>
      <c r="D154" s="142"/>
      <c r="E154" s="144"/>
      <c r="F154" s="145"/>
      <c r="G154" s="144"/>
      <c r="H154" s="25"/>
      <c r="I154" s="177"/>
      <c r="J154" s="25"/>
      <c r="K154" s="147"/>
      <c r="L154" s="24"/>
      <c r="M154" s="145"/>
      <c r="N154" s="147"/>
      <c r="O154" s="148"/>
      <c r="P154" s="24"/>
      <c r="Q154" s="148"/>
      <c r="R154" s="149"/>
      <c r="S154" s="146"/>
      <c r="T154" s="149"/>
      <c r="U154" s="53"/>
      <c r="V154" s="150"/>
      <c r="W154" s="255"/>
      <c r="X154" s="150"/>
      <c r="Y154" s="22"/>
    </row>
    <row r="155" spans="1:25" ht="15" thickBot="1">
      <c r="A155" s="22"/>
      <c r="B155" s="142"/>
      <c r="C155" s="227" t="s">
        <v>30</v>
      </c>
      <c r="D155" s="142"/>
      <c r="E155" s="144"/>
      <c r="F155" s="206" t="s">
        <v>66</v>
      </c>
      <c r="G155" s="144"/>
      <c r="H155" s="25"/>
      <c r="I155" s="233">
        <f>IF(AND(OR(ISBLANK(I96),I96=""),OR(ISBLANK(I150),I150="")),"",(IF(I96="",0,I96)-IF(I150="",0,I150)))</f>
      </c>
      <c r="J155" s="25"/>
      <c r="K155" s="147"/>
      <c r="L155" s="24"/>
      <c r="M155" s="206"/>
      <c r="N155" s="147"/>
      <c r="O155" s="148"/>
      <c r="P155" s="179">
        <f>IF(NOT(I155=0),"Fail","Pass")</f>
      </c>
      <c r="Q155" s="148"/>
      <c r="R155" s="149"/>
      <c r="S155" s="207">
        <f>IF(NOT(I155=0),"must = 0","")</f>
      </c>
      <c r="T155" s="149"/>
      <c r="U155" s="53"/>
      <c r="V155" s="150"/>
      <c r="W155" s="255"/>
      <c r="X155" s="150"/>
      <c r="Y155" s="22"/>
    </row>
    <row r="156" spans="1:25" ht="15" hidden="1">
      <c r="A156" s="22"/>
      <c r="B156" s="142"/>
      <c r="C156" s="226"/>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customHeight="1">
      <c r="A157" s="22"/>
      <c r="B157" s="142"/>
      <c r="C157" s="201"/>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201"/>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15" hidden="1" thickBot="1">
      <c r="A159" s="22"/>
      <c r="B159" s="142"/>
      <c r="C159" s="226"/>
      <c r="D159" s="142"/>
      <c r="E159" s="144"/>
      <c r="F159" s="145"/>
      <c r="G159" s="144"/>
      <c r="H159" s="25"/>
      <c r="I159" s="177"/>
      <c r="J159" s="25"/>
      <c r="K159" s="147"/>
      <c r="L159" s="24"/>
      <c r="M159" s="145"/>
      <c r="N159" s="147"/>
      <c r="O159" s="148"/>
      <c r="P159" s="24"/>
      <c r="Q159" s="148"/>
      <c r="R159" s="149"/>
      <c r="S159" s="146"/>
      <c r="T159" s="149"/>
      <c r="U159" s="53"/>
      <c r="V159" s="150"/>
      <c r="W159" s="255"/>
      <c r="X159" s="150"/>
      <c r="Y159" s="22"/>
    </row>
    <row r="160" spans="1:25" ht="15" hidden="1" thickBot="1">
      <c r="A160" s="22"/>
      <c r="B160" s="142"/>
      <c r="C160" s="227" t="s">
        <v>29</v>
      </c>
      <c r="D160" s="142"/>
      <c r="E160" s="144"/>
      <c r="F160" s="206"/>
      <c r="G160" s="144"/>
      <c r="H160" s="25"/>
      <c r="I160" s="243">
        <f>IF(OR(I33="",I41="",I50="",I51=""),"",IF(I33="yes",(I41/100),""))</f>
      </c>
      <c r="J160" s="25"/>
      <c r="K160" s="147"/>
      <c r="L160" s="206" t="s">
        <v>28</v>
      </c>
      <c r="M160" s="206"/>
      <c r="N160" s="147"/>
      <c r="O160" s="148"/>
      <c r="P160" s="179">
        <f>IF(TRUE,"PassBecauseNoConstraints","ERROR")</f>
      </c>
      <c r="Q160" s="148"/>
      <c r="R160" s="149"/>
      <c r="S160" s="207">
        <f>IF(TRUE,"","ERROR")</f>
      </c>
      <c r="T160" s="149"/>
      <c r="U160" s="53"/>
      <c r="V160" s="150"/>
      <c r="W160" s="255"/>
      <c r="X160" s="150"/>
      <c r="Y160" s="22"/>
    </row>
    <row r="161" spans="1:25" ht="15" hidden="1" thickBot="1">
      <c r="A161" s="22"/>
      <c r="B161" s="142"/>
      <c r="C161" s="227" t="s">
        <v>27</v>
      </c>
      <c r="D161" s="142"/>
      <c r="E161" s="144"/>
      <c r="F161" s="206"/>
      <c r="G161" s="144"/>
      <c r="H161" s="25"/>
      <c r="I161" s="243">
        <f>IF(OR(I33="",I41="",I50="",I51=""),"",IF(I33="yes",(1-I160),""))</f>
      </c>
      <c r="J161" s="25"/>
      <c r="K161" s="147"/>
      <c r="L161" s="206" t="s">
        <v>28</v>
      </c>
      <c r="M161" s="206"/>
      <c r="N161" s="147"/>
      <c r="O161" s="148"/>
      <c r="P161" s="179">
        <f>IF(TRUE,"PassBecauseNoConstraints","ERROR")</f>
      </c>
      <c r="Q161" s="148"/>
      <c r="R161" s="149"/>
      <c r="S161" s="207">
        <f>IF(TRUE,"","ERROR")</f>
      </c>
      <c r="T161" s="149"/>
      <c r="U161" s="53"/>
      <c r="V161" s="150"/>
      <c r="W161" s="255"/>
      <c r="X161" s="150"/>
      <c r="Y161" s="22"/>
    </row>
    <row r="162" spans="1:25" ht="15" hidden="1" thickBot="1">
      <c r="A162" s="22"/>
      <c r="B162" s="142"/>
      <c r="C162" s="227" t="s">
        <v>26</v>
      </c>
      <c r="D162" s="142"/>
      <c r="E162" s="144"/>
      <c r="F162" s="206" t="s">
        <v>66</v>
      </c>
      <c r="G162" s="144"/>
      <c r="H162" s="25"/>
      <c r="I162" s="244">
        <f>IF(OR(I33="",I41="",I50="",I51=""),"",IF(I33="yes",(I50-I51),""))</f>
      </c>
      <c r="J162" s="25"/>
      <c r="K162" s="147"/>
      <c r="L162" s="24"/>
      <c r="M162" s="206"/>
      <c r="N162" s="147"/>
      <c r="O162" s="148"/>
      <c r="P162" s="179">
        <f>IF(TRUE,"PassBecauseNoConstraints","ERROR")</f>
      </c>
      <c r="Q162" s="148"/>
      <c r="R162" s="149"/>
      <c r="S162" s="207">
        <f>IF(TRUE,"","ERROR")</f>
      </c>
      <c r="T162" s="149"/>
      <c r="U162" s="53"/>
      <c r="V162" s="150"/>
      <c r="W162" s="255"/>
      <c r="X162" s="150"/>
      <c r="Y162" s="22"/>
    </row>
    <row r="163" spans="1:25" ht="15" hidden="1" thickBot="1">
      <c r="A163" s="22"/>
      <c r="B163" s="142"/>
      <c r="C163" s="227" t="s">
        <v>22</v>
      </c>
      <c r="D163" s="142"/>
      <c r="E163" s="144"/>
      <c r="F163" s="206" t="s">
        <v>66</v>
      </c>
      <c r="G163" s="144"/>
      <c r="H163" s="25"/>
      <c r="I163" s="244">
        <f>IF(OR(I33="",I41="",I50="",I51=""),"",IF(I33="yes",(-1*I50),""))</f>
      </c>
      <c r="J163" s="25"/>
      <c r="K163" s="147"/>
      <c r="L163" s="24"/>
      <c r="M163" s="206"/>
      <c r="N163" s="147"/>
      <c r="O163" s="148"/>
      <c r="P163" s="179">
        <f>IF(TRUE,"PassBecauseNoConstraints","ERROR")</f>
      </c>
      <c r="Q163" s="148"/>
      <c r="R163" s="149"/>
      <c r="S163" s="207">
        <f>IF(TRUE,"","ERROR")</f>
      </c>
      <c r="T163" s="149"/>
      <c r="U163" s="53"/>
      <c r="V163" s="150"/>
      <c r="W163" s="255"/>
      <c r="X163" s="150"/>
      <c r="Y163" s="22"/>
    </row>
    <row r="164" spans="1:25" ht="15" hidden="1" thickBot="1">
      <c r="A164" s="22"/>
      <c r="B164" s="142"/>
      <c r="C164" s="227" t="s">
        <v>25</v>
      </c>
      <c r="D164" s="142"/>
      <c r="E164" s="144"/>
      <c r="F164" s="206" t="s">
        <v>66</v>
      </c>
      <c r="G164" s="144"/>
      <c r="H164" s="25"/>
      <c r="I164" s="244">
        <f>IF(OR(I33="",I41="",I50="",I51=""),"",IF(I33="yes",SUM(I163,(I162*I161)),""))</f>
      </c>
      <c r="J164" s="25"/>
      <c r="K164" s="147"/>
      <c r="L164" s="24"/>
      <c r="M164" s="206"/>
      <c r="N164" s="147"/>
      <c r="O164" s="148"/>
      <c r="P164" s="179">
        <f>IF(TRUE,"PassBecauseNoConstraints","ERROR")</f>
      </c>
      <c r="Q164" s="148"/>
      <c r="R164" s="149"/>
      <c r="S164" s="207">
        <f>IF(TRUE,"","ERROR")</f>
      </c>
      <c r="T164" s="149"/>
      <c r="U164" s="53"/>
      <c r="V164" s="150"/>
      <c r="W164" s="255"/>
      <c r="X164" s="150"/>
      <c r="Y164" s="22"/>
    </row>
    <row r="165" spans="1:25" ht="15" hidden="1" thickBot="1">
      <c r="A165" s="22"/>
      <c r="B165" s="142"/>
      <c r="C165" s="227" t="s">
        <v>24</v>
      </c>
      <c r="D165" s="142"/>
      <c r="E165" s="144"/>
      <c r="F165" s="206" t="s">
        <v>66</v>
      </c>
      <c r="G165" s="144"/>
      <c r="H165" s="25"/>
      <c r="I165" s="244">
        <f>IF(OR(I33="",I41="",I50="",I51=""),"",IF(I33="yes",((-1*I162)*I161),""))</f>
      </c>
      <c r="J165" s="25"/>
      <c r="K165" s="147"/>
      <c r="L165" s="24"/>
      <c r="M165" s="206"/>
      <c r="N165" s="147"/>
      <c r="O165" s="148"/>
      <c r="P165" s="179">
        <f>IF(TRUE,"PassBecauseNoConstraints","ERROR")</f>
      </c>
      <c r="Q165" s="148"/>
      <c r="R165" s="149"/>
      <c r="S165" s="207">
        <f>IF(TRUE,"","ERROR")</f>
      </c>
      <c r="T165" s="149"/>
      <c r="U165" s="53"/>
      <c r="V165" s="150"/>
      <c r="W165" s="255"/>
      <c r="X165" s="150"/>
      <c r="Y165" s="22"/>
    </row>
    <row r="166" spans="1:25" ht="15" hidden="1">
      <c r="A166" s="22"/>
      <c r="B166" s="142"/>
      <c r="C166" s="226"/>
      <c r="D166" s="142"/>
      <c r="E166" s="144"/>
      <c r="F166" s="145"/>
      <c r="G166" s="144"/>
      <c r="H166" s="25"/>
      <c r="I166" s="146"/>
      <c r="J166" s="25"/>
      <c r="K166" s="147"/>
      <c r="L166" s="24"/>
      <c r="M166" s="145"/>
      <c r="N166" s="147"/>
      <c r="O166" s="148"/>
      <c r="P166" s="24"/>
      <c r="Q166" s="148"/>
      <c r="R166" s="149"/>
      <c r="S166" s="146"/>
      <c r="T166" s="149"/>
      <c r="U166" s="53"/>
      <c r="V166" s="150"/>
      <c r="W166" s="24"/>
      <c r="X166" s="150"/>
      <c r="Y166" s="22"/>
    </row>
    <row r="167" spans="1:25" ht="15" customHeight="1">
      <c r="A167" s="22"/>
      <c r="B167" s="142"/>
      <c r="C167" s="201"/>
      <c r="D167" s="142"/>
      <c r="E167" s="144"/>
      <c r="F167" s="145"/>
      <c r="G167" s="144"/>
      <c r="H167" s="25"/>
      <c r="I167" s="146"/>
      <c r="J167" s="25"/>
      <c r="K167" s="147"/>
      <c r="L167" s="24"/>
      <c r="M167" s="145"/>
      <c r="N167" s="147"/>
      <c r="O167" s="148"/>
      <c r="P167" s="24"/>
      <c r="Q167" s="148"/>
      <c r="R167" s="149"/>
      <c r="S167" s="146"/>
      <c r="T167" s="149"/>
      <c r="U167" s="53"/>
      <c r="V167" s="150"/>
      <c r="W167" s="24"/>
      <c r="X167" s="150"/>
      <c r="Y167" s="22"/>
    </row>
    <row r="168" spans="1:25" ht="15" hidden="1">
      <c r="A168" s="22"/>
      <c r="B168" s="142"/>
      <c r="C168" s="200"/>
      <c r="D168" s="142"/>
      <c r="E168" s="144"/>
      <c r="F168" s="145"/>
      <c r="G168" s="144"/>
      <c r="H168" s="25"/>
      <c r="I168" s="146"/>
      <c r="J168" s="25"/>
      <c r="K168" s="147"/>
      <c r="L168" s="24"/>
      <c r="M168" s="145"/>
      <c r="N168" s="147"/>
      <c r="O168" s="148"/>
      <c r="P168" s="24"/>
      <c r="Q168" s="148"/>
      <c r="R168" s="149"/>
      <c r="S168" s="146"/>
      <c r="T168" s="149"/>
      <c r="U168" s="53"/>
      <c r="V168" s="150"/>
      <c r="W168" s="24"/>
      <c r="X168" s="150"/>
      <c r="Y168" s="22"/>
    </row>
    <row r="169" spans="1:25" ht="15" customHeight="1">
      <c r="A169" s="22"/>
      <c r="B169" s="142"/>
      <c r="C169" s="192"/>
      <c r="D169" s="142"/>
      <c r="E169" s="144"/>
      <c r="F169" s="145"/>
      <c r="G169" s="144"/>
      <c r="H169" s="25"/>
      <c r="I169" s="146"/>
      <c r="J169" s="25"/>
      <c r="K169" s="147"/>
      <c r="L169" s="24"/>
      <c r="M169" s="145"/>
      <c r="N169" s="147"/>
      <c r="O169" s="148"/>
      <c r="P169" s="24"/>
      <c r="Q169" s="148"/>
      <c r="R169" s="149"/>
      <c r="S169" s="146"/>
      <c r="T169" s="149"/>
      <c r="U169" s="53"/>
      <c r="V169" s="150"/>
      <c r="W169" s="24"/>
      <c r="X169" s="150"/>
      <c r="Y169" s="22"/>
    </row>
    <row r="170" spans="1:25" ht="15" hidden="1">
      <c r="A170" s="22"/>
      <c r="B170" s="142"/>
      <c r="C170" s="192"/>
      <c r="D170" s="142"/>
      <c r="E170" s="144"/>
      <c r="F170" s="145"/>
      <c r="G170" s="144"/>
      <c r="H170" s="25"/>
      <c r="I170" s="146"/>
      <c r="J170" s="25"/>
      <c r="K170" s="147"/>
      <c r="L170" s="24"/>
      <c r="M170" s="145"/>
      <c r="N170" s="147"/>
      <c r="O170" s="148"/>
      <c r="P170" s="24"/>
      <c r="Q170" s="148"/>
      <c r="R170" s="149"/>
      <c r="S170" s="146"/>
      <c r="T170" s="149"/>
      <c r="U170" s="53"/>
      <c r="V170" s="150"/>
      <c r="W170" s="24"/>
      <c r="X170" s="150"/>
      <c r="Y170" s="22"/>
    </row>
    <row r="171" spans="1:25" ht="15" hidden="1">
      <c r="A171" s="22"/>
      <c r="B171" s="142"/>
      <c r="C171" s="193"/>
      <c r="D171" s="142"/>
      <c r="E171" s="144"/>
      <c r="F171" s="145"/>
      <c r="G171" s="144"/>
      <c r="H171" s="25"/>
      <c r="I171" s="146"/>
      <c r="J171" s="25"/>
      <c r="K171" s="147"/>
      <c r="L171" s="24"/>
      <c r="M171" s="145"/>
      <c r="N171" s="147"/>
      <c r="O171" s="148"/>
      <c r="P171" s="24"/>
      <c r="Q171" s="148"/>
      <c r="R171" s="149"/>
      <c r="S171" s="146"/>
      <c r="T171" s="149"/>
      <c r="U171" s="53"/>
      <c r="V171" s="150"/>
      <c r="W171" s="24"/>
      <c r="X171" s="150"/>
      <c r="Y171" s="22"/>
    </row>
    <row r="172" spans="1:25" ht="21">
      <c r="A172" s="22"/>
      <c r="B172" s="142"/>
      <c r="C172" s="166" t="s">
        <v>23</v>
      </c>
      <c r="D172" s="142"/>
      <c r="E172" s="144"/>
      <c r="F172" s="145"/>
      <c r="G172" s="144"/>
      <c r="H172" s="25"/>
      <c r="I172" s="146"/>
      <c r="J172" s="25"/>
      <c r="K172" s="147"/>
      <c r="L172" s="24"/>
      <c r="M172" s="145"/>
      <c r="N172" s="147"/>
      <c r="O172" s="148"/>
      <c r="P172" s="24"/>
      <c r="Q172" s="148"/>
      <c r="R172" s="149"/>
      <c r="S172" s="146"/>
      <c r="T172" s="149"/>
      <c r="U172" s="53"/>
      <c r="V172" s="150"/>
      <c r="W172" s="24"/>
      <c r="X172" s="150"/>
      <c r="Y172" s="22"/>
    </row>
    <row r="173" spans="1:25" ht="7.5" customHeight="1">
      <c r="A173" s="22"/>
      <c r="B173" s="142"/>
      <c r="C173" s="193"/>
      <c r="D173" s="142"/>
      <c r="E173" s="144"/>
      <c r="F173" s="145"/>
      <c r="G173" s="144"/>
      <c r="H173" s="25"/>
      <c r="I173" s="146"/>
      <c r="J173" s="25"/>
      <c r="K173" s="147"/>
      <c r="L173" s="24"/>
      <c r="M173" s="145"/>
      <c r="N173" s="147"/>
      <c r="O173" s="148"/>
      <c r="P173" s="24"/>
      <c r="Q173" s="148"/>
      <c r="R173" s="149"/>
      <c r="S173" s="146"/>
      <c r="T173" s="149"/>
      <c r="U173" s="53"/>
      <c r="V173" s="150"/>
      <c r="W173" s="24"/>
      <c r="X173" s="150"/>
      <c r="Y173" s="22"/>
    </row>
    <row r="174" spans="1:25" ht="15" hidden="1">
      <c r="A174" s="22"/>
      <c r="B174" s="142"/>
      <c r="C174" s="194"/>
      <c r="D174" s="142"/>
      <c r="E174" s="144"/>
      <c r="F174" s="145"/>
      <c r="G174" s="144"/>
      <c r="H174" s="25"/>
      <c r="I174" s="146"/>
      <c r="J174" s="25"/>
      <c r="K174" s="147"/>
      <c r="L174" s="24"/>
      <c r="M174" s="145"/>
      <c r="N174" s="147"/>
      <c r="O174" s="148"/>
      <c r="P174" s="24"/>
      <c r="Q174" s="148"/>
      <c r="R174" s="149"/>
      <c r="S174" s="146"/>
      <c r="T174" s="149"/>
      <c r="U174" s="53"/>
      <c r="V174" s="150"/>
      <c r="W174" s="24"/>
      <c r="X174" s="150"/>
      <c r="Y174" s="22"/>
    </row>
    <row r="175" spans="1:25" ht="15" customHeight="1">
      <c r="A175" s="22"/>
      <c r="B175" s="142"/>
      <c r="C175" s="195" t="s">
        <v>21</v>
      </c>
      <c r="D175" s="196"/>
      <c r="E175" s="196"/>
      <c r="F175" s="197"/>
      <c r="G175" s="196"/>
      <c r="H175" s="196"/>
      <c r="I175" s="198"/>
      <c r="J175" s="196"/>
      <c r="K175" s="196"/>
      <c r="L175" s="199"/>
      <c r="M175" s="197"/>
      <c r="N175" s="196"/>
      <c r="O175" s="196"/>
      <c r="P175" s="199"/>
      <c r="Q175" s="196"/>
      <c r="R175" s="196"/>
      <c r="S175" s="198"/>
      <c r="T175" s="149"/>
      <c r="U175" s="53"/>
      <c r="V175" s="150"/>
      <c r="W175" s="24"/>
      <c r="X175" s="150"/>
      <c r="Y175" s="22"/>
    </row>
    <row r="176" spans="1:25" ht="15" customHeight="1">
      <c r="A176" s="22"/>
      <c r="B176" s="142"/>
      <c r="C176" s="245" t="s">
        <v>20</v>
      </c>
      <c r="D176" s="246"/>
      <c r="E176" s="246"/>
      <c r="F176" s="247"/>
      <c r="G176" s="246"/>
      <c r="H176" s="246"/>
      <c r="I176" s="248"/>
      <c r="J176" s="246"/>
      <c r="K176" s="246"/>
      <c r="L176" s="249"/>
      <c r="M176" s="247"/>
      <c r="N176" s="246"/>
      <c r="O176" s="246"/>
      <c r="P176" s="249"/>
      <c r="Q176" s="246"/>
      <c r="R176" s="246"/>
      <c r="S176" s="248"/>
      <c r="T176" s="149"/>
      <c r="U176" s="53"/>
      <c r="V176" s="150"/>
      <c r="W176" s="24"/>
      <c r="X176" s="150"/>
      <c r="Y176" s="22"/>
    </row>
    <row r="177" spans="1:25" ht="15" customHeight="1">
      <c r="A177" s="22"/>
      <c r="B177" s="142"/>
      <c r="C177" s="250" t="s">
        <v>19</v>
      </c>
      <c r="D177" s="251"/>
      <c r="E177" s="251"/>
      <c r="F177" s="252"/>
      <c r="G177" s="251"/>
      <c r="H177" s="251"/>
      <c r="I177" s="253"/>
      <c r="J177" s="251"/>
      <c r="K177" s="251"/>
      <c r="L177" s="254"/>
      <c r="M177" s="252"/>
      <c r="N177" s="251"/>
      <c r="O177" s="251"/>
      <c r="P177" s="254"/>
      <c r="Q177" s="251"/>
      <c r="R177" s="251"/>
      <c r="S177" s="253"/>
      <c r="T177" s="149"/>
      <c r="U177" s="53"/>
      <c r="V177" s="150"/>
      <c r="W177" s="24"/>
      <c r="X177" s="150"/>
      <c r="Y177" s="22"/>
    </row>
    <row r="178" spans="1:25" ht="15" customHeight="1">
      <c r="A178" s="22"/>
      <c r="B178" s="142"/>
      <c r="C178" s="194"/>
      <c r="D178" s="142"/>
      <c r="E178" s="144"/>
      <c r="F178" s="145"/>
      <c r="G178" s="144"/>
      <c r="H178" s="25"/>
      <c r="I178" s="146"/>
      <c r="J178" s="25"/>
      <c r="K178" s="147"/>
      <c r="L178" s="24"/>
      <c r="M178" s="145"/>
      <c r="N178" s="147"/>
      <c r="O178" s="148"/>
      <c r="P178" s="24"/>
      <c r="Q178" s="148"/>
      <c r="R178" s="149"/>
      <c r="S178" s="146"/>
      <c r="T178" s="149"/>
      <c r="U178" s="53"/>
      <c r="V178" s="150"/>
      <c r="W178" s="24"/>
      <c r="X178" s="150"/>
      <c r="Y178" s="22"/>
    </row>
    <row r="179" spans="1:25" ht="15" customHeight="1">
      <c r="A179" s="22"/>
      <c r="B179" s="142"/>
      <c r="C179" s="192"/>
      <c r="D179" s="142"/>
      <c r="E179" s="144"/>
      <c r="F179" s="145"/>
      <c r="G179" s="144"/>
      <c r="H179" s="25"/>
      <c r="I179" s="146"/>
      <c r="J179" s="25"/>
      <c r="K179" s="147"/>
      <c r="L179" s="24"/>
      <c r="M179" s="145"/>
      <c r="N179" s="147"/>
      <c r="O179" s="148"/>
      <c r="P179" s="24"/>
      <c r="Q179" s="148"/>
      <c r="R179" s="149"/>
      <c r="S179" s="146"/>
      <c r="T179" s="149"/>
      <c r="U179" s="53"/>
      <c r="V179" s="150"/>
      <c r="W179" s="24"/>
      <c r="X179" s="150"/>
      <c r="Y179" s="22"/>
    </row>
    <row r="180" spans="1:25" ht="15" hidden="1">
      <c r="A180" s="22"/>
      <c r="B180" s="142"/>
      <c r="C180" s="191"/>
      <c r="D180" s="142"/>
      <c r="E180" s="144"/>
      <c r="F180" s="145"/>
      <c r="G180" s="144"/>
      <c r="H180" s="25"/>
      <c r="I180" s="146"/>
      <c r="J180" s="25"/>
      <c r="K180" s="147"/>
      <c r="L180" s="24"/>
      <c r="M180" s="145"/>
      <c r="N180" s="147"/>
      <c r="O180" s="148"/>
      <c r="P180" s="24"/>
      <c r="Q180" s="148"/>
      <c r="R180" s="149"/>
      <c r="S180" s="146"/>
      <c r="T180" s="149"/>
      <c r="U180" s="53"/>
      <c r="V180" s="150"/>
      <c r="W180" s="24"/>
      <c r="X180" s="150"/>
      <c r="Y180" s="22"/>
    </row>
    <row r="181" spans="1:25" ht="37.5" customHeight="1">
      <c r="A181" s="22" t="s">
        <v>17</v>
      </c>
      <c r="B181" s="22" t="s">
        <v>17</v>
      </c>
      <c r="C181" s="22" t="s">
        <v>17</v>
      </c>
      <c r="D181" s="22" t="s">
        <v>17</v>
      </c>
      <c r="E181" s="22" t="s">
        <v>17</v>
      </c>
      <c r="F181" s="22" t="s">
        <v>17</v>
      </c>
      <c r="G181" s="22" t="s">
        <v>17</v>
      </c>
      <c r="H181" s="22" t="s">
        <v>17</v>
      </c>
      <c r="I181" s="22" t="s">
        <v>17</v>
      </c>
      <c r="J181" s="22" t="s">
        <v>17</v>
      </c>
      <c r="K181" s="22" t="s">
        <v>17</v>
      </c>
      <c r="L181" s="22" t="s">
        <v>17</v>
      </c>
      <c r="M181" s="22" t="s">
        <v>17</v>
      </c>
      <c r="N181" s="22" t="s">
        <v>17</v>
      </c>
      <c r="O181" s="22" t="s">
        <v>17</v>
      </c>
      <c r="P181" s="22" t="s">
        <v>17</v>
      </c>
      <c r="Q181" s="22" t="s">
        <v>17</v>
      </c>
      <c r="R181" s="22" t="s">
        <v>17</v>
      </c>
      <c r="S181" s="22" t="s">
        <v>17</v>
      </c>
      <c r="T181" s="22" t="s">
        <v>17</v>
      </c>
      <c r="U181" s="22" t="s">
        <v>17</v>
      </c>
      <c r="V181" s="22" t="s">
        <v>17</v>
      </c>
      <c r="W181" s="22" t="s">
        <v>17</v>
      </c>
      <c r="X181" s="22" t="s">
        <v>17</v>
      </c>
      <c r="Y181" s="22" t="s">
        <v>17</v>
      </c>
    </row>
  </sheetData>
  <sheetProtection password="F7F9" sheet="1" objects="1" scenarios="1"/>
  <mergeCells count="46">
    <mergeCell ref="A1:Y1"/>
    <mergeCell ref="A181:Y181"/>
    <mergeCell ref="C3:S3"/>
    <mergeCell ref="C10:S10"/>
    <mergeCell ref="C11:S11"/>
    <mergeCell ref="C12:S12"/>
    <mergeCell ref="C14:S14"/>
    <mergeCell ref="C23:S23"/>
    <mergeCell ref="C24:S24"/>
    <mergeCell ref="C25:S25"/>
    <mergeCell ref="L41:M41"/>
    <mergeCell ref="L50:M50"/>
    <mergeCell ref="L51:M51"/>
    <mergeCell ref="L59:M59"/>
    <mergeCell ref="L60:M60"/>
    <mergeCell ref="L61:M61"/>
    <mergeCell ref="L62:M62"/>
    <mergeCell ref="L77:M77"/>
    <mergeCell ref="L78:M78"/>
    <mergeCell ref="L79:M79"/>
    <mergeCell ref="L80:M80"/>
    <mergeCell ref="L83:M83"/>
    <mergeCell ref="L91:M91"/>
    <mergeCell ref="L96:M96"/>
    <mergeCell ref="L111:M111"/>
    <mergeCell ref="L112:M112"/>
    <mergeCell ref="L113:M113"/>
    <mergeCell ref="L116:M116"/>
    <mergeCell ref="L124:M124"/>
    <mergeCell ref="L125:M125"/>
    <mergeCell ref="L128:M128"/>
    <mergeCell ref="L133:M133"/>
    <mergeCell ref="L141:M141"/>
    <mergeCell ref="L142:M142"/>
    <mergeCell ref="L145:M145"/>
    <mergeCell ref="L150:M150"/>
    <mergeCell ref="L155:M155"/>
    <mergeCell ref="L160:M160"/>
    <mergeCell ref="L161:M161"/>
    <mergeCell ref="L162:M162"/>
    <mergeCell ref="L163:M163"/>
    <mergeCell ref="L164:M164"/>
    <mergeCell ref="L165:M165"/>
    <mergeCell ref="C175:S175"/>
    <mergeCell ref="C176:S176"/>
    <mergeCell ref="C177:S177"/>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33">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41">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50">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51">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5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60">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61">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62">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77">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78">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7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8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8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91">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9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11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11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1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16">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24">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25">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28">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33">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41">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4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45">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50">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55">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60">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61">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6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6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6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6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dataValidations count="34">
    <dataValidation type="list" allowBlank="1" showErrorMessage="1" errorTitle="Oops!" error="Please select a value from the drop-down." sqref="I33">
      <formula1>'Balance Sheet-Lists'!$A$1:$A$3</formula1>
    </dataValidation>
    <dataValidation type="decimal" operator="notEqual" allowBlank="1" showErrorMessage="1" errorTitle="Oops!" error="Please enter a number." sqref="I41">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9">
      <formula1>-999999999999</formula1>
    </dataValidation>
    <dataValidation type="decimal" operator="notEqual" allowBlank="1" showErrorMessage="1" errorTitle="Oops!" error="Please enter a number." sqref="I60">
      <formula1>-999999999999</formula1>
    </dataValidation>
    <dataValidation type="decimal" operator="notEqual" allowBlank="1" showErrorMessage="1" errorTitle="Oops!" error="Please enter a number." sqref="I61">
      <formula1>-999999999999</formula1>
    </dataValidation>
    <dataValidation type="decimal" operator="notEqual" allowBlank="1" showErrorMessage="1" errorTitle="Oops!" error="Please enter a number." sqref="I62">
      <formula1>-999999999999</formula1>
    </dataValidation>
    <dataValidation type="decimal" operator="notEqual" allowBlank="1" showErrorMessage="1" errorTitle="Oops!" error="Please enter a number." sqref="I77">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91">
      <formula1>-999999999999</formula1>
    </dataValidation>
    <dataValidation type="decimal" operator="notEqual" allowBlank="1" showErrorMessage="1" errorTitle="Oops!" error="Please enter a number." sqref="I96">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6">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8">
      <formula1>-999999999999</formula1>
    </dataValidation>
    <dataValidation type="decimal" operator="notEqual" allowBlank="1" showErrorMessage="1" errorTitle="Oops!" error="Please enter a number." sqref="I133">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0">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60">
      <formula1>-999999999999</formula1>
    </dataValidation>
    <dataValidation type="decimal" operator="notEqual" allowBlank="1" showErrorMessage="1" errorTitle="Oops!" error="Please enter a number." sqref="I161">
      <formula1>-999999999999</formula1>
    </dataValidation>
    <dataValidation type="decimal" operator="notEqual" allowBlank="1" showErrorMessage="1" errorTitle="Oops!" error="Please enter a number." sqref="I162">
      <formula1>-999999999999</formula1>
    </dataValidation>
    <dataValidation type="decimal" operator="notEqual" allowBlank="1" showErrorMessage="1" errorTitle="Oops!" error="Please enter a number." sqref="I163">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s>
  <pageMargins left="0.75" right="0.75" top="1" bottom="1" header="0.5" footer="0.5"/>
  <pageSetup orientation="portrait"/>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
  <sheetViews>
    <sheetView workbookViewId="0" topLeftCell="A1"/>
  </sheetViews>
  <sheetFormatPr defaultRowHeight="12.75"/>
  <sheetData/>
  <sheetProtection password="F7F9" sheet="1" objects="1" scenarios="1"/>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59"/>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"Income Statement ("&amp;IFERROR(INDEX({"2020"},MATCH(Welcome!C12,{"FY: 2020"},0)),"SELECT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169</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c r="A25" s="22"/>
      <c r="B25" s="142"/>
      <c r="C25" s="205" t="s">
        <v>168</v>
      </c>
      <c r="D25" s="142"/>
      <c r="E25" s="144"/>
      <c r="F25" s="206" t="s">
        <v>66</v>
      </c>
      <c r="G25" s="144"/>
      <c r="H25" s="25"/>
      <c r="I25" s="258"/>
      <c r="J25" s="25"/>
      <c r="K25" s="147"/>
      <c r="L25" s="24"/>
      <c r="M25" s="206"/>
      <c r="N25" s="147"/>
      <c r="O25" s="148"/>
      <c r="P25" s="179">
        <f>IF(NOT(NOT(IF(ISERROR(I25),ERROR.TYPE(#REF!)=ERROR.TYPE(I25),FALSE))),"Fail",IF(NOT(NOT(ISBLANK(I25))),"Fail",IF(NOT(ISNUMBER(I25)),"Fail",IF(NOT(LEN(I25)-FIND(".",I25&amp;".")&lt;=0),"Fail",IF(NOT(OR(I25=0,I25&gt;100)),"Fail","Pass")))))</f>
      </c>
      <c r="Q25" s="148"/>
      <c r="R25" s="149"/>
      <c r="S25" s="207">
        <f>IF(NOT(NOT(IF(ISERROR(I25),ERROR.TYPE(#REF!)=ERROR.TYPE(I25),FALSE))),"UNDO NOW (use button or Ctrl+Z)! CANNOT DRAG-AND-DROP CELLS",IF(NOT(NOT(ISBLANK(I25))),"input required",IF(NOT(ISNUMBER(I25)),"enter a number",IF(NOT(LEN(I25)-FIND(".",I25&amp;".")&lt;=0),"whole number only",IF(NOT(OR(I25=0,I25&gt;100)),"must be 0 or &gt; 100","")))))</f>
      </c>
      <c r="T25" s="149"/>
      <c r="U25" s="53"/>
      <c r="V25" s="150"/>
      <c r="W25" s="255"/>
      <c r="X25" s="150"/>
      <c r="Y25" s="22"/>
    </row>
    <row r="26" spans="1:25" ht="15">
      <c r="A26" s="22"/>
      <c r="B26" s="142"/>
      <c r="C26" s="205" t="s">
        <v>167</v>
      </c>
      <c r="D26" s="142"/>
      <c r="E26" s="144"/>
      <c r="F26" s="206" t="s">
        <v>66</v>
      </c>
      <c r="G26" s="144"/>
      <c r="H26" s="25"/>
      <c r="I26" s="260"/>
      <c r="J26" s="25"/>
      <c r="K26" s="147"/>
      <c r="L26" s="24"/>
      <c r="M26" s="206"/>
      <c r="N26" s="147"/>
      <c r="O26" s="148"/>
      <c r="P26" s="179">
        <f>IF(NOT(NOT(IF(ISERROR(I26),ERROR.TYPE(#REF!)=ERROR.TYPE(I26),FALSE))),"Fail",IF(NOT(NOT(ISBLANK(I26))),"Fail",IF(NOT(ISNUMBER(I26)),"Fail",IF(NOT(LEN(I26)-FIND(".",I26&amp;".")&lt;=0),"Fail",IF(NOT(OR(I26=0,I26&gt;100)),"Fail","Pass")))))</f>
      </c>
      <c r="Q26" s="148"/>
      <c r="R26" s="149"/>
      <c r="S26" s="207">
        <f>IF(NOT(NOT(IF(ISERROR(I26),ERROR.TYPE(#REF!)=ERROR.TYPE(I26),FALSE))),"UNDO NOW (use button or Ctrl+Z)! CANNOT DRAG-AND-DROP CELLS",IF(NOT(NOT(ISBLANK(I26))),"input required",IF(NOT(ISNUMBER(I26)),"enter a number",IF(NOT(LEN(I26)-FIND(".",I26&amp;".")&lt;=0),"whole number only",IF(NOT(OR(I26=0,I26&gt;100)),"must be 0 or &gt; 100","")))))</f>
      </c>
      <c r="T26" s="149"/>
      <c r="U26" s="53"/>
      <c r="V26" s="150"/>
      <c r="W26" s="255"/>
      <c r="X26" s="150"/>
      <c r="Y26" s="22"/>
    </row>
    <row r="27" spans="1:25" ht="15">
      <c r="A27" s="22"/>
      <c r="B27" s="142"/>
      <c r="C27" s="205" t="s">
        <v>166</v>
      </c>
      <c r="D27" s="142"/>
      <c r="E27" s="144"/>
      <c r="F27" s="206" t="s">
        <v>66</v>
      </c>
      <c r="G27" s="144"/>
      <c r="H27" s="25"/>
      <c r="I27" s="260"/>
      <c r="J27" s="25"/>
      <c r="K27" s="147"/>
      <c r="L27" s="24"/>
      <c r="M27" s="206"/>
      <c r="N27" s="147"/>
      <c r="O27" s="148"/>
      <c r="P27" s="179">
        <f>IF(NOT(NOT(IF(ISERROR(I27),ERROR.TYPE(#REF!)=ERROR.TYPE(I27),FALSE))),"Fail",IF(NOT(NOT(ISBLANK(I27))),"Fail",IF(NOT(ISNUMBER(I27)),"Fail",IF(NOT(LEN(I27)-FIND(".",I27&amp;".")&lt;=0),"Fail",IF(NOT(OR(I27=0,I27&gt;100)),"Fail","Pass")))))</f>
      </c>
      <c r="Q27" s="148"/>
      <c r="R27" s="149"/>
      <c r="S27" s="207">
        <f>IF(NOT(NOT(IF(ISERROR(I27),ERROR.TYPE(#REF!)=ERROR.TYPE(I27),FALSE))),"UNDO NOW (use button or Ctrl+Z)! CANNOT DRAG-AND-DROP CELLS",IF(NOT(NOT(ISBLANK(I27))),"input required",IF(NOT(ISNUMBER(I27)),"enter a number",IF(NOT(LEN(I27)-FIND(".",I27&amp;".")&lt;=0),"whole number only",IF(NOT(OR(I27=0,I27&gt;100)),"must be 0 or &gt; 100","")))))</f>
      </c>
      <c r="T27" s="149"/>
      <c r="U27" s="53"/>
      <c r="V27" s="150"/>
      <c r="W27" s="255"/>
      <c r="X27" s="150"/>
      <c r="Y27" s="22"/>
    </row>
    <row r="28" spans="1:25" ht="15" thickBot="1">
      <c r="A28" s="22"/>
      <c r="B28" s="142"/>
      <c r="C28" s="205" t="s">
        <v>165</v>
      </c>
      <c r="D28" s="142"/>
      <c r="E28" s="144"/>
      <c r="F28" s="206" t="s">
        <v>66</v>
      </c>
      <c r="G28" s="144"/>
      <c r="H28" s="25"/>
      <c r="I28" s="259"/>
      <c r="J28" s="25"/>
      <c r="K28" s="147"/>
      <c r="L28" s="24"/>
      <c r="M28" s="206"/>
      <c r="N28" s="147"/>
      <c r="O28" s="148"/>
      <c r="P28" s="179">
        <f>IF(NOT(NOT(IF(ISERROR(I28),ERROR.TYPE(#REF!)=ERROR.TYPE(I28),FALSE))),"Fail",IF(NOT(NOT(ISBLANK(I28))),"Fail",IF(NOT(ISNUMBER(I28)),"Fail",IF(NOT(LEN(I28)-FIND(".",I28&amp;".")&lt;=0),"Fail",IF(NOT(OR(I28=0,I28&gt;100)),"Fail","Pass")))))</f>
      </c>
      <c r="Q28" s="148"/>
      <c r="R28" s="149"/>
      <c r="S28" s="207">
        <f>IF(NOT(NOT(IF(ISERROR(I28),ERROR.TYPE(#REF!)=ERROR.TYPE(I28),FALSE))),"UNDO NOW (use button or Ctrl+Z)! CANNOT DRAG-AND-DROP CELLS",IF(NOT(NOT(ISBLANK(I28))),"input required",IF(NOT(ISNUMBER(I28)),"enter a number",IF(NOT(LEN(I28)-FIND(".",I28&amp;".")&lt;=0),"whole number only",IF(NOT(OR(I28=0,I28&gt;100)),"must be 0 or &gt; 100","")))))</f>
      </c>
      <c r="T28" s="149"/>
      <c r="U28" s="53"/>
      <c r="V28" s="150"/>
      <c r="W28" s="255"/>
      <c r="X28" s="150"/>
      <c r="Y28" s="22"/>
    </row>
    <row r="29" spans="1:25" ht="15" hidden="1">
      <c r="A29" s="22"/>
      <c r="B29" s="142"/>
      <c r="C29" s="204"/>
      <c r="D29" s="142"/>
      <c r="E29" s="144"/>
      <c r="F29" s="145"/>
      <c r="G29" s="144"/>
      <c r="H29" s="25"/>
      <c r="I29" s="146"/>
      <c r="J29" s="25"/>
      <c r="K29" s="147"/>
      <c r="L29" s="24"/>
      <c r="M29" s="145"/>
      <c r="N29" s="147"/>
      <c r="O29" s="148"/>
      <c r="P29" s="24"/>
      <c r="Q29" s="148"/>
      <c r="R29" s="149"/>
      <c r="S29" s="146"/>
      <c r="T29" s="149"/>
      <c r="U29" s="53"/>
      <c r="V29" s="150"/>
      <c r="W29" s="255"/>
      <c r="X29" s="150"/>
      <c r="Y29" s="22"/>
    </row>
    <row r="30" spans="1:25" ht="15" hidden="1" thickBot="1">
      <c r="A30" s="22"/>
      <c r="B30" s="142"/>
      <c r="C30" s="226"/>
      <c r="D30" s="142"/>
      <c r="E30" s="144"/>
      <c r="F30" s="145"/>
      <c r="G30" s="144"/>
      <c r="H30" s="25"/>
      <c r="I30" s="177"/>
      <c r="J30" s="25"/>
      <c r="K30" s="147"/>
      <c r="L30" s="24"/>
      <c r="M30" s="145"/>
      <c r="N30" s="147"/>
      <c r="O30" s="148"/>
      <c r="P30" s="24"/>
      <c r="Q30" s="148"/>
      <c r="R30" s="149"/>
      <c r="S30" s="146"/>
      <c r="T30" s="149"/>
      <c r="U30" s="53"/>
      <c r="V30" s="150"/>
      <c r="W30" s="255"/>
      <c r="X30" s="150"/>
      <c r="Y30" s="22"/>
    </row>
    <row r="31" spans="1:25" ht="15" thickBot="1">
      <c r="A31" s="22"/>
      <c r="B31" s="142"/>
      <c r="C31" s="227" t="s">
        <v>164</v>
      </c>
      <c r="D31" s="142"/>
      <c r="E31" s="144"/>
      <c r="F31" s="206" t="s">
        <v>66</v>
      </c>
      <c r="G31" s="144"/>
      <c r="H31" s="25"/>
      <c r="I31" s="233">
        <f>IF(AND(OR(ISBLANK(I25),I25=""),OR(ISBLANK(I26),I26=""),OR(ISBLANK(I27),I27=""),OR(ISBLANK(I28),I28="")),"",SUM(I25,I26,I27,I28))</f>
      </c>
      <c r="J31" s="25"/>
      <c r="K31" s="147"/>
      <c r="L31" s="24"/>
      <c r="M31" s="206"/>
      <c r="N31" s="147"/>
      <c r="O31" s="148"/>
      <c r="P31" s="179">
        <f>IF(NOT(NOT(I31="")),"Fail",IF(NOT(I31&gt;0),"Fail","Pass"))</f>
      </c>
      <c r="Q31" s="148"/>
      <c r="R31" s="149"/>
      <c r="S31" s="207">
        <f>IF(NOT(NOT(I31="")),"must be &gt; 0",IF(NOT(I31&gt;0),"must be &gt; 0",""))</f>
      </c>
      <c r="T31" s="149"/>
      <c r="U31" s="53"/>
      <c r="V31" s="150"/>
      <c r="W31" s="255"/>
      <c r="X31" s="150"/>
      <c r="Y31" s="22"/>
    </row>
    <row r="32" spans="1:25" ht="15" hidden="1">
      <c r="A32" s="22"/>
      <c r="B32" s="142"/>
      <c r="C32" s="226"/>
      <c r="D32" s="142"/>
      <c r="E32" s="144"/>
      <c r="F32" s="145"/>
      <c r="G32" s="144"/>
      <c r="H32" s="25"/>
      <c r="I32" s="146"/>
      <c r="J32" s="25"/>
      <c r="K32" s="147"/>
      <c r="L32" s="24"/>
      <c r="M32" s="145"/>
      <c r="N32" s="147"/>
      <c r="O32" s="148"/>
      <c r="P32" s="24"/>
      <c r="Q32" s="148"/>
      <c r="R32" s="149"/>
      <c r="S32" s="146"/>
      <c r="T32" s="149"/>
      <c r="U32" s="53"/>
      <c r="V32" s="150"/>
      <c r="W32" s="255"/>
      <c r="X32" s="150"/>
      <c r="Y32" s="22"/>
    </row>
    <row r="33" spans="1:25" ht="15" customHeight="1">
      <c r="A33" s="22"/>
      <c r="B33" s="142"/>
      <c r="C33" s="201"/>
      <c r="D33" s="142"/>
      <c r="E33" s="144"/>
      <c r="F33" s="145"/>
      <c r="G33" s="144"/>
      <c r="H33" s="25"/>
      <c r="I33" s="146"/>
      <c r="J33" s="25"/>
      <c r="K33" s="147"/>
      <c r="L33" s="24"/>
      <c r="M33" s="145"/>
      <c r="N33" s="147"/>
      <c r="O33" s="148"/>
      <c r="P33" s="24"/>
      <c r="Q33" s="148"/>
      <c r="R33" s="149"/>
      <c r="S33" s="146"/>
      <c r="T33" s="149"/>
      <c r="U33" s="53"/>
      <c r="V33" s="150"/>
      <c r="W33" s="255"/>
      <c r="X33" s="150"/>
      <c r="Y33" s="22"/>
    </row>
    <row r="34" spans="1:25" ht="15" hidden="1">
      <c r="A34" s="22"/>
      <c r="B34" s="142"/>
      <c r="C34" s="200"/>
      <c r="D34" s="142"/>
      <c r="E34" s="144"/>
      <c r="F34" s="145"/>
      <c r="G34" s="144"/>
      <c r="H34" s="25"/>
      <c r="I34" s="146"/>
      <c r="J34" s="25"/>
      <c r="K34" s="147"/>
      <c r="L34" s="24"/>
      <c r="M34" s="145"/>
      <c r="N34" s="147"/>
      <c r="O34" s="148"/>
      <c r="P34" s="24"/>
      <c r="Q34" s="148"/>
      <c r="R34" s="149"/>
      <c r="S34" s="146"/>
      <c r="T34" s="149"/>
      <c r="U34" s="53"/>
      <c r="V34" s="150"/>
      <c r="W34" s="255"/>
      <c r="X34" s="150"/>
      <c r="Y34" s="22"/>
    </row>
    <row r="35" spans="1:25" ht="15" customHeight="1">
      <c r="A35" s="22"/>
      <c r="B35" s="142"/>
      <c r="C35" s="192"/>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hidden="1">
      <c r="A36" s="22"/>
      <c r="B36" s="142"/>
      <c r="C36" s="192"/>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193"/>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21">
      <c r="A38" s="22"/>
      <c r="B38" s="142"/>
      <c r="C38" s="166" t="s">
        <v>163</v>
      </c>
      <c r="D38" s="142"/>
      <c r="E38" s="144"/>
      <c r="F38" s="145"/>
      <c r="G38" s="144"/>
      <c r="H38" s="25"/>
      <c r="I38" s="146"/>
      <c r="J38" s="25"/>
      <c r="K38" s="147"/>
      <c r="L38" s="24"/>
      <c r="M38" s="145"/>
      <c r="N38" s="147"/>
      <c r="O38" s="148"/>
      <c r="P38" s="24"/>
      <c r="Q38" s="148"/>
      <c r="R38" s="149"/>
      <c r="S38" s="146"/>
      <c r="T38" s="149"/>
      <c r="U38" s="53"/>
      <c r="V38" s="150"/>
      <c r="W38" s="255"/>
      <c r="X38" s="150"/>
      <c r="Y38" s="22"/>
    </row>
    <row r="39" spans="1:25" ht="7.5" customHeight="1">
      <c r="A39" s="22"/>
      <c r="B39" s="142"/>
      <c r="C39" s="193"/>
      <c r="D39" s="142"/>
      <c r="E39" s="144"/>
      <c r="F39" s="145"/>
      <c r="G39" s="144"/>
      <c r="H39" s="25"/>
      <c r="I39" s="146"/>
      <c r="J39" s="25"/>
      <c r="K39" s="147"/>
      <c r="L39" s="24"/>
      <c r="M39" s="145"/>
      <c r="N39" s="147"/>
      <c r="O39" s="148"/>
      <c r="P39" s="24"/>
      <c r="Q39" s="148"/>
      <c r="R39" s="149"/>
      <c r="S39" s="146"/>
      <c r="T39" s="149"/>
      <c r="U39" s="53"/>
      <c r="V39" s="150"/>
      <c r="W39" s="255"/>
      <c r="X39" s="150"/>
      <c r="Y39" s="22"/>
    </row>
    <row r="40" spans="1:25" ht="15" hidden="1">
      <c r="A40" s="22"/>
      <c r="B40" s="142"/>
      <c r="C40" s="19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customHeight="1">
      <c r="A41" s="22"/>
      <c r="B41" s="142"/>
      <c r="C41" s="195" t="s">
        <v>162</v>
      </c>
      <c r="D41" s="196"/>
      <c r="E41" s="196"/>
      <c r="F41" s="197"/>
      <c r="G41" s="196"/>
      <c r="H41" s="196"/>
      <c r="I41" s="198"/>
      <c r="J41" s="196"/>
      <c r="K41" s="196"/>
      <c r="L41" s="199"/>
      <c r="M41" s="197"/>
      <c r="N41" s="196"/>
      <c r="O41" s="196"/>
      <c r="P41" s="199"/>
      <c r="Q41" s="196"/>
      <c r="R41" s="196"/>
      <c r="S41" s="198"/>
      <c r="T41" s="149"/>
      <c r="U41" s="53"/>
      <c r="V41" s="150"/>
      <c r="W41" s="255"/>
      <c r="X41" s="150"/>
      <c r="Y41" s="22"/>
    </row>
    <row r="42" spans="1:25" ht="15" customHeight="1">
      <c r="A42" s="22"/>
      <c r="B42" s="142"/>
      <c r="C42" s="195" t="s">
        <v>161</v>
      </c>
      <c r="D42" s="196"/>
      <c r="E42" s="196"/>
      <c r="F42" s="197"/>
      <c r="G42" s="196"/>
      <c r="H42" s="196"/>
      <c r="I42" s="198"/>
      <c r="J42" s="196"/>
      <c r="K42" s="196"/>
      <c r="L42" s="199"/>
      <c r="M42" s="197"/>
      <c r="N42" s="196"/>
      <c r="O42" s="196"/>
      <c r="P42" s="199"/>
      <c r="Q42" s="196"/>
      <c r="R42" s="196"/>
      <c r="S42" s="198"/>
      <c r="T42" s="149"/>
      <c r="U42" s="53"/>
      <c r="V42" s="150"/>
      <c r="W42" s="255"/>
      <c r="X42" s="150"/>
      <c r="Y42" s="22"/>
    </row>
    <row r="43" spans="1:25" ht="15" customHeight="1">
      <c r="A43" s="22"/>
      <c r="B43" s="142"/>
      <c r="C43" s="195" t="s">
        <v>160</v>
      </c>
      <c r="D43" s="196"/>
      <c r="E43" s="196"/>
      <c r="F43" s="197"/>
      <c r="G43" s="196"/>
      <c r="H43" s="196"/>
      <c r="I43" s="198"/>
      <c r="J43" s="196"/>
      <c r="K43" s="196"/>
      <c r="L43" s="199"/>
      <c r="M43" s="197"/>
      <c r="N43" s="196"/>
      <c r="O43" s="196"/>
      <c r="P43" s="199"/>
      <c r="Q43" s="196"/>
      <c r="R43" s="196"/>
      <c r="S43" s="198"/>
      <c r="T43" s="149"/>
      <c r="U43" s="53"/>
      <c r="V43" s="150"/>
      <c r="W43" s="255"/>
      <c r="X43" s="150"/>
      <c r="Y43" s="22"/>
    </row>
    <row r="44" spans="1:25" ht="15" customHeight="1">
      <c r="A44" s="22"/>
      <c r="B44" s="142"/>
      <c r="C44" s="194"/>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hidden="1">
      <c r="A46" s="22"/>
      <c r="B46" s="142"/>
      <c r="C46" s="201"/>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thickBot="1">
      <c r="A47" s="22"/>
      <c r="B47" s="142"/>
      <c r="C47" s="204"/>
      <c r="D47" s="142"/>
      <c r="E47" s="144"/>
      <c r="F47" s="145"/>
      <c r="G47" s="144"/>
      <c r="H47" s="25"/>
      <c r="I47" s="177"/>
      <c r="J47" s="25"/>
      <c r="K47" s="147"/>
      <c r="L47" s="24"/>
      <c r="M47" s="145"/>
      <c r="N47" s="147"/>
      <c r="O47" s="148"/>
      <c r="P47" s="24"/>
      <c r="Q47" s="148"/>
      <c r="R47" s="149"/>
      <c r="S47" s="146"/>
      <c r="T47" s="149"/>
      <c r="U47" s="53"/>
      <c r="V47" s="150"/>
      <c r="W47" s="255"/>
      <c r="X47" s="150"/>
      <c r="Y47" s="22"/>
    </row>
    <row r="48" spans="1:25" ht="15">
      <c r="A48" s="22"/>
      <c r="B48" s="142"/>
      <c r="C48" s="205" t="s">
        <v>159</v>
      </c>
      <c r="D48" s="142"/>
      <c r="E48" s="144"/>
      <c r="F48" s="206" t="s">
        <v>66</v>
      </c>
      <c r="G48" s="144"/>
      <c r="H48" s="25"/>
      <c r="I48" s="258"/>
      <c r="J48" s="25"/>
      <c r="K48" s="147"/>
      <c r="L48" s="24"/>
      <c r="M48" s="206"/>
      <c r="N48" s="147"/>
      <c r="O48" s="148"/>
      <c r="P48" s="179">
        <f>IF(NOT(NOT(IF(ISERROR(I48),ERROR.TYPE(#REF!)=ERROR.TYPE(I48),FALSE))),"Fail",IF(NOT(NOT(ISBLANK(I48))),"Fail",IF(NOT(ISNUMBER(I48)),"Fail",IF(NOT(LEN(I48)-FIND(".",I48&amp;".")&lt;=0),"Fail",IF(NOT(OR(I48=0,I48&gt;100)),"Fail",IF(NOT(IF(ISBLANK(I25),TRUE,IF(I25=0,I48=0,NOT(I48=0)))),"Fail","Pass"))))))</f>
      </c>
      <c r="Q48" s="148"/>
      <c r="R48" s="149"/>
      <c r="S48" s="207">
        <f>IF(NOT(NOT(IF(ISERROR(I48),ERROR.TYPE(#REF!)=ERROR.TYPE(I48),FALSE))),"UNDO NOW (use button or Ctrl+Z)! CANNOT DRAG-AND-DROP CELLS",IF(NOT(NOT(ISBLANK(I48))),"input required",IF(NOT(ISNUMBER(I48)),"enter a number",IF(NOT(LEN(I48)-FIND(".",I48&amp;".")&lt;=0),"whole number only",IF(NOT(OR(I48=0,I48&gt;100)),"must be 0 or &gt; 100",IF(NOT(IF(ISBLANK(I25),TRUE,IF(I25=0,I48=0,NOT(I48=0)))),"inconsistent with sales",""))))))</f>
      </c>
      <c r="T48" s="149"/>
      <c r="U48" s="53"/>
      <c r="V48" s="150"/>
      <c r="W48" s="255"/>
      <c r="X48" s="150"/>
      <c r="Y48" s="22"/>
    </row>
    <row r="49" spans="1:25" ht="15">
      <c r="A49" s="22"/>
      <c r="B49" s="142"/>
      <c r="C49" s="205" t="s">
        <v>158</v>
      </c>
      <c r="D49" s="142"/>
      <c r="E49" s="144"/>
      <c r="F49" s="206" t="s">
        <v>66</v>
      </c>
      <c r="G49" s="144"/>
      <c r="H49" s="25"/>
      <c r="I49" s="260"/>
      <c r="J49" s="25"/>
      <c r="K49" s="147"/>
      <c r="L49" s="24"/>
      <c r="M49" s="206"/>
      <c r="N49" s="147"/>
      <c r="O49" s="148"/>
      <c r="P49" s="179">
        <f>IF(NOT(NOT(IF(ISERROR(I49),ERROR.TYPE(#REF!)=ERROR.TYPE(I49),FALSE))),"Fail",IF(NOT(NOT(ISBLANK(I49))),"Fail",IF(NOT(ISNUMBER(I49)),"Fail",IF(NOT(LEN(I49)-FIND(".",I49&amp;".")&lt;=0),"Fail",IF(NOT(OR(I49=0,I49&gt;100)),"Fail",IF(NOT(IF(ISBLANK(I26),TRUE,IF(I26=0,I49=0,NOT(I49=0)))),"Fail","Pass"))))))</f>
      </c>
      <c r="Q49" s="148"/>
      <c r="R49" s="149"/>
      <c r="S49" s="207">
        <f>IF(NOT(NOT(IF(ISERROR(I49),ERROR.TYPE(#REF!)=ERROR.TYPE(I49),FALSE))),"UNDO NOW (use button or Ctrl+Z)! CANNOT DRAG-AND-DROP CELLS",IF(NOT(NOT(ISBLANK(I49))),"input required",IF(NOT(ISNUMBER(I49)),"enter a number",IF(NOT(LEN(I49)-FIND(".",I49&amp;".")&lt;=0),"whole number only",IF(NOT(OR(I49=0,I49&gt;100)),"must be 0 or &gt; 100",IF(NOT(IF(ISBLANK(I26),TRUE,IF(I26=0,I49=0,NOT(I49=0)))),"inconsistent with sales",""))))))</f>
      </c>
      <c r="T49" s="149"/>
      <c r="U49" s="53"/>
      <c r="V49" s="150"/>
      <c r="W49" s="255"/>
      <c r="X49" s="150"/>
      <c r="Y49" s="22"/>
    </row>
    <row r="50" spans="1:25" ht="15">
      <c r="A50" s="22"/>
      <c r="B50" s="142"/>
      <c r="C50" s="205" t="s">
        <v>157</v>
      </c>
      <c r="D50" s="142"/>
      <c r="E50" s="144"/>
      <c r="F50" s="206" t="s">
        <v>66</v>
      </c>
      <c r="G50" s="144"/>
      <c r="H50" s="25"/>
      <c r="I50" s="260"/>
      <c r="J50" s="25"/>
      <c r="K50" s="147"/>
      <c r="L50" s="24"/>
      <c r="M50" s="206"/>
      <c r="N50" s="147"/>
      <c r="O50" s="148"/>
      <c r="P50" s="179">
        <f>IF(NOT(NOT(IF(ISERROR(I50),ERROR.TYPE(#REF!)=ERROR.TYPE(I50),FALSE))),"Fail",IF(NOT(NOT(ISBLANK(I50))),"Fail",IF(NOT(ISNUMBER(I50)),"Fail",IF(NOT(LEN(I50)-FIND(".",I50&amp;".")&lt;=0),"Fail",IF(NOT(OR(I50=0,I50&gt;100)),"Fail",IF(NOT(IF(ISBLANK(I27),TRUE,IF(I27=0,I50=0,NOT(I50=0)))),"Fail","Pass"))))))</f>
      </c>
      <c r="Q50" s="148"/>
      <c r="R50" s="149"/>
      <c r="S50" s="207">
        <f>IF(NOT(NOT(IF(ISERROR(I50),ERROR.TYPE(#REF!)=ERROR.TYPE(I50),FALSE))),"UNDO NOW (use button or Ctrl+Z)! CANNOT DRAG-AND-DROP CELLS",IF(NOT(NOT(ISBLANK(I50))),"input required",IF(NOT(ISNUMBER(I50)),"enter a number",IF(NOT(LEN(I50)-FIND(".",I50&amp;".")&lt;=0),"whole number only",IF(NOT(OR(I50=0,I50&gt;100)),"must be 0 or &gt; 100",IF(NOT(IF(ISBLANK(I27),TRUE,IF(I27=0,I50=0,NOT(I50=0)))),"inconsistent with sales",""))))))</f>
      </c>
      <c r="T50" s="149"/>
      <c r="U50" s="53"/>
      <c r="V50" s="150"/>
      <c r="W50" s="255"/>
      <c r="X50" s="150"/>
      <c r="Y50" s="22"/>
    </row>
    <row r="51" spans="1:25" ht="15" thickBot="1">
      <c r="A51" s="22"/>
      <c r="B51" s="142"/>
      <c r="C51" s="205" t="s">
        <v>64</v>
      </c>
      <c r="D51" s="142"/>
      <c r="E51" s="144"/>
      <c r="F51" s="206" t="s">
        <v>66</v>
      </c>
      <c r="G51" s="144"/>
      <c r="H51" s="25"/>
      <c r="I51" s="259"/>
      <c r="J51" s="25"/>
      <c r="K51" s="147"/>
      <c r="L51" s="24"/>
      <c r="M51" s="206"/>
      <c r="N51" s="147"/>
      <c r="O51" s="148"/>
      <c r="P51" s="179">
        <f>IF(NOT(NOT(IF(ISERROR(I51),ERROR.TYPE(#REF!)=ERROR.TYPE(I51),FALSE))),"Fail",IF(NOT(NOT(ISBLANK(I51))),"Fail",IF(NOT(ISNUMBER(I51)),"Fail",IF(NOT(LEN(I51)-FIND(".",I51&amp;".")&lt;=0),"Fail",IF(NOT(OR(I51=0,I51&gt;100)),"Fail",IF(NOT(IF(ISBLANK(I28),TRUE,IF(I28=0,I51=0,NOT(I51=0)))),"Fail","Pass"))))))</f>
      </c>
      <c r="Q51" s="148"/>
      <c r="R51" s="149"/>
      <c r="S51" s="207">
        <f>IF(NOT(NOT(IF(ISERROR(I51),ERROR.TYPE(#REF!)=ERROR.TYPE(I51),FALSE))),"UNDO NOW (use button or Ctrl+Z)! CANNOT DRAG-AND-DROP CELLS",IF(NOT(NOT(ISBLANK(I51))),"input required",IF(NOT(ISNUMBER(I51)),"enter a number",IF(NOT(LEN(I51)-FIND(".",I51&amp;".")&lt;=0),"whole number only",IF(NOT(OR(I51=0,I51&gt;100)),"must be 0 or &gt; 100",IF(NOT(IF(ISBLANK(I28),TRUE,IF(I28=0,I51=0,NOT(I51=0)))),"inconsistent with sales",""))))))</f>
      </c>
      <c r="T51" s="149"/>
      <c r="U51" s="53"/>
      <c r="V51" s="150"/>
      <c r="W51" s="255"/>
      <c r="X51" s="150"/>
      <c r="Y51" s="22"/>
    </row>
    <row r="52" spans="1:25" ht="15" hidden="1">
      <c r="A52" s="22"/>
      <c r="B52" s="142"/>
      <c r="C52" s="204"/>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thickBot="1">
      <c r="A53" s="22"/>
      <c r="B53" s="142"/>
      <c r="C53" s="226"/>
      <c r="D53" s="142"/>
      <c r="E53" s="144"/>
      <c r="F53" s="145"/>
      <c r="G53" s="144"/>
      <c r="H53" s="25"/>
      <c r="I53" s="177"/>
      <c r="J53" s="25"/>
      <c r="K53" s="147"/>
      <c r="L53" s="24"/>
      <c r="M53" s="145"/>
      <c r="N53" s="147"/>
      <c r="O53" s="148"/>
      <c r="P53" s="24"/>
      <c r="Q53" s="148"/>
      <c r="R53" s="149"/>
      <c r="S53" s="146"/>
      <c r="T53" s="149"/>
      <c r="U53" s="53"/>
      <c r="V53" s="150"/>
      <c r="W53" s="255"/>
      <c r="X53" s="150"/>
      <c r="Y53" s="22"/>
    </row>
    <row r="54" spans="1:25" ht="15" thickBot="1">
      <c r="A54" s="22"/>
      <c r="B54" s="142"/>
      <c r="C54" s="227" t="s">
        <v>156</v>
      </c>
      <c r="D54" s="142"/>
      <c r="E54" s="144"/>
      <c r="F54" s="206" t="s">
        <v>66</v>
      </c>
      <c r="G54" s="144"/>
      <c r="H54" s="25"/>
      <c r="I54" s="233">
        <f>IF(AND(OR(ISBLANK(I48),I48=""),OR(ISBLANK(I50),I50=""),OR(ISBLANK(I49),I49=""),OR(ISBLANK(I51),I51="")),"",SUM(I48,I50,I49,I51))</f>
      </c>
      <c r="J54" s="25"/>
      <c r="K54" s="147"/>
      <c r="L54" s="24"/>
      <c r="M54" s="206"/>
      <c r="N54" s="147"/>
      <c r="O54" s="148"/>
      <c r="P54" s="179">
        <f>IF(NOT(NOT(I54="")),"Fail",IF(NOT(I54&gt;0),"Fail","Pass"))</f>
      </c>
      <c r="Q54" s="148"/>
      <c r="R54" s="149"/>
      <c r="S54" s="207">
        <f>IF(NOT(NOT(I54="")),"must be &gt; 0",IF(NOT(I54&gt;0),"must be &gt; 0",""))</f>
      </c>
      <c r="T54" s="149"/>
      <c r="U54" s="53"/>
      <c r="V54" s="150"/>
      <c r="W54" s="255"/>
      <c r="X54" s="150"/>
      <c r="Y54" s="22"/>
    </row>
    <row r="55" spans="1:25" ht="15" hidden="1">
      <c r="A55" s="22"/>
      <c r="B55" s="142"/>
      <c r="C55" s="226"/>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customHeight="1">
      <c r="A56" s="22"/>
      <c r="B56" s="142"/>
      <c r="C56" s="201"/>
      <c r="D56" s="142"/>
      <c r="E56" s="144"/>
      <c r="F56" s="145"/>
      <c r="G56" s="144"/>
      <c r="H56" s="25"/>
      <c r="I56" s="146"/>
      <c r="J56" s="25"/>
      <c r="K56" s="147"/>
      <c r="L56" s="24"/>
      <c r="M56" s="145"/>
      <c r="N56" s="147"/>
      <c r="O56" s="148"/>
      <c r="P56" s="24"/>
      <c r="Q56" s="148"/>
      <c r="R56" s="149"/>
      <c r="S56" s="146"/>
      <c r="T56" s="149"/>
      <c r="U56" s="53"/>
      <c r="V56" s="150"/>
      <c r="W56" s="255"/>
      <c r="X56" s="150"/>
      <c r="Y56" s="22"/>
    </row>
    <row r="57" spans="1:25" ht="15" hidden="1">
      <c r="A57" s="22"/>
      <c r="B57" s="142"/>
      <c r="C57" s="200"/>
      <c r="D57" s="142"/>
      <c r="E57" s="144"/>
      <c r="F57" s="145"/>
      <c r="G57" s="144"/>
      <c r="H57" s="25"/>
      <c r="I57" s="146"/>
      <c r="J57" s="25"/>
      <c r="K57" s="147"/>
      <c r="L57" s="24"/>
      <c r="M57" s="145"/>
      <c r="N57" s="147"/>
      <c r="O57" s="148"/>
      <c r="P57" s="24"/>
      <c r="Q57" s="148"/>
      <c r="R57" s="149"/>
      <c r="S57" s="146"/>
      <c r="T57" s="149"/>
      <c r="U57" s="53"/>
      <c r="V57" s="150"/>
      <c r="W57" s="255"/>
      <c r="X57" s="150"/>
      <c r="Y57" s="22"/>
    </row>
    <row r="58" spans="1:25" ht="15" customHeight="1">
      <c r="A58" s="22"/>
      <c r="B58" s="142"/>
      <c r="C58" s="192"/>
      <c r="D58" s="142"/>
      <c r="E58" s="144"/>
      <c r="F58" s="145"/>
      <c r="G58" s="144"/>
      <c r="H58" s="25"/>
      <c r="I58" s="146"/>
      <c r="J58" s="25"/>
      <c r="K58" s="147"/>
      <c r="L58" s="24"/>
      <c r="M58" s="145"/>
      <c r="N58" s="147"/>
      <c r="O58" s="148"/>
      <c r="P58" s="24"/>
      <c r="Q58" s="148"/>
      <c r="R58" s="149"/>
      <c r="S58" s="146"/>
      <c r="T58" s="149"/>
      <c r="U58" s="53"/>
      <c r="V58" s="150"/>
      <c r="W58" s="255"/>
      <c r="X58" s="150"/>
      <c r="Y58" s="22"/>
    </row>
    <row r="59" spans="1:25" ht="15" hidden="1">
      <c r="A59" s="22"/>
      <c r="B59" s="142"/>
      <c r="C59" s="192"/>
      <c r="D59" s="142"/>
      <c r="E59" s="144"/>
      <c r="F59" s="145"/>
      <c r="G59" s="144"/>
      <c r="H59" s="25"/>
      <c r="I59" s="146"/>
      <c r="J59" s="25"/>
      <c r="K59" s="147"/>
      <c r="L59" s="24"/>
      <c r="M59" s="145"/>
      <c r="N59" s="147"/>
      <c r="O59" s="148"/>
      <c r="P59" s="24"/>
      <c r="Q59" s="148"/>
      <c r="R59" s="149"/>
      <c r="S59" s="146"/>
      <c r="T59" s="149"/>
      <c r="U59" s="53"/>
      <c r="V59" s="150"/>
      <c r="W59" s="255"/>
      <c r="X59" s="150"/>
      <c r="Y59" s="22"/>
    </row>
    <row r="60" spans="1:25" ht="15" hidden="1">
      <c r="A60" s="22"/>
      <c r="B60" s="142"/>
      <c r="C60" s="193"/>
      <c r="D60" s="142"/>
      <c r="E60" s="144"/>
      <c r="F60" s="145"/>
      <c r="G60" s="144"/>
      <c r="H60" s="25"/>
      <c r="I60" s="146"/>
      <c r="J60" s="25"/>
      <c r="K60" s="147"/>
      <c r="L60" s="24"/>
      <c r="M60" s="145"/>
      <c r="N60" s="147"/>
      <c r="O60" s="148"/>
      <c r="P60" s="24"/>
      <c r="Q60" s="148"/>
      <c r="R60" s="149"/>
      <c r="S60" s="146"/>
      <c r="T60" s="149"/>
      <c r="U60" s="53"/>
      <c r="V60" s="150"/>
      <c r="W60" s="255"/>
      <c r="X60" s="150"/>
      <c r="Y60" s="22"/>
    </row>
    <row r="61" spans="1:25" ht="21">
      <c r="A61" s="22"/>
      <c r="B61" s="142"/>
      <c r="C61" s="166" t="s">
        <v>155</v>
      </c>
      <c r="D61" s="142"/>
      <c r="E61" s="144"/>
      <c r="F61" s="145"/>
      <c r="G61" s="144"/>
      <c r="H61" s="25"/>
      <c r="I61" s="146"/>
      <c r="J61" s="25"/>
      <c r="K61" s="147"/>
      <c r="L61" s="24"/>
      <c r="M61" s="145"/>
      <c r="N61" s="147"/>
      <c r="O61" s="148"/>
      <c r="P61" s="24"/>
      <c r="Q61" s="148"/>
      <c r="R61" s="149"/>
      <c r="S61" s="146"/>
      <c r="T61" s="149"/>
      <c r="U61" s="53"/>
      <c r="V61" s="150"/>
      <c r="W61" s="255"/>
      <c r="X61" s="150"/>
      <c r="Y61" s="22"/>
    </row>
    <row r="62" spans="1:25" ht="7.5" customHeight="1">
      <c r="A62" s="22"/>
      <c r="B62" s="142"/>
      <c r="C62" s="193"/>
      <c r="D62" s="142"/>
      <c r="E62" s="144"/>
      <c r="F62" s="145"/>
      <c r="G62" s="144"/>
      <c r="H62" s="25"/>
      <c r="I62" s="146"/>
      <c r="J62" s="25"/>
      <c r="K62" s="147"/>
      <c r="L62" s="24"/>
      <c r="M62" s="145"/>
      <c r="N62" s="147"/>
      <c r="O62" s="148"/>
      <c r="P62" s="24"/>
      <c r="Q62" s="148"/>
      <c r="R62" s="149"/>
      <c r="S62" s="146"/>
      <c r="T62" s="149"/>
      <c r="U62" s="53"/>
      <c r="V62" s="150"/>
      <c r="W62" s="255"/>
      <c r="X62" s="150"/>
      <c r="Y62" s="22"/>
    </row>
    <row r="63" spans="1:25" ht="15" hidden="1">
      <c r="A63" s="22"/>
      <c r="B63" s="142"/>
      <c r="C63" s="194"/>
      <c r="D63" s="142"/>
      <c r="E63" s="144"/>
      <c r="F63" s="145"/>
      <c r="G63" s="144"/>
      <c r="H63" s="25"/>
      <c r="I63" s="146"/>
      <c r="J63" s="25"/>
      <c r="K63" s="147"/>
      <c r="L63" s="24"/>
      <c r="M63" s="145"/>
      <c r="N63" s="147"/>
      <c r="O63" s="148"/>
      <c r="P63" s="24"/>
      <c r="Q63" s="148"/>
      <c r="R63" s="149"/>
      <c r="S63" s="146"/>
      <c r="T63" s="149"/>
      <c r="U63" s="53"/>
      <c r="V63" s="150"/>
      <c r="W63" s="255"/>
      <c r="X63" s="150"/>
      <c r="Y63" s="22"/>
    </row>
    <row r="64" spans="1:25" ht="15" customHeight="1">
      <c r="A64" s="22"/>
      <c r="B64" s="142"/>
      <c r="C64" s="273" t="s">
        <v>154</v>
      </c>
      <c r="D64" s="246"/>
      <c r="E64" s="246"/>
      <c r="F64" s="247"/>
      <c r="G64" s="246"/>
      <c r="H64" s="246"/>
      <c r="I64" s="248"/>
      <c r="J64" s="246"/>
      <c r="K64" s="246"/>
      <c r="L64" s="249"/>
      <c r="M64" s="247"/>
      <c r="N64" s="246"/>
      <c r="O64" s="246"/>
      <c r="P64" s="249"/>
      <c r="Q64" s="246"/>
      <c r="R64" s="246"/>
      <c r="S64" s="248"/>
      <c r="T64" s="149"/>
      <c r="U64" s="53"/>
      <c r="V64" s="150"/>
      <c r="W64" s="255"/>
      <c r="X64" s="150"/>
      <c r="Y64" s="22"/>
    </row>
    <row r="65" spans="1:25" ht="15" customHeight="1">
      <c r="A65" s="22"/>
      <c r="B65" s="142"/>
      <c r="C65" s="19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hidden="1">
      <c r="A66" s="22"/>
      <c r="B66" s="142"/>
      <c r="C66" s="200"/>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1"/>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hidden="1" thickBot="1">
      <c r="A68" s="22"/>
      <c r="B68" s="142"/>
      <c r="C68" s="204"/>
      <c r="D68" s="142"/>
      <c r="E68" s="144"/>
      <c r="F68" s="145"/>
      <c r="G68" s="144"/>
      <c r="H68" s="25"/>
      <c r="I68" s="177"/>
      <c r="J68" s="25"/>
      <c r="K68" s="147"/>
      <c r="L68" s="24"/>
      <c r="M68" s="145"/>
      <c r="N68" s="147"/>
      <c r="O68" s="148"/>
      <c r="P68" s="24"/>
      <c r="Q68" s="148"/>
      <c r="R68" s="149"/>
      <c r="S68" s="146"/>
      <c r="T68" s="149"/>
      <c r="U68" s="53"/>
      <c r="V68" s="150"/>
      <c r="W68" s="255"/>
      <c r="X68" s="150"/>
      <c r="Y68" s="22"/>
    </row>
    <row r="69" spans="1:25" ht="15">
      <c r="A69" s="22"/>
      <c r="B69" s="142"/>
      <c r="C69" s="205" t="s">
        <v>153</v>
      </c>
      <c r="D69" s="142"/>
      <c r="E69" s="144"/>
      <c r="F69" s="206" t="s">
        <v>66</v>
      </c>
      <c r="G69" s="144"/>
      <c r="H69" s="25"/>
      <c r="I69" s="258"/>
      <c r="J69" s="25"/>
      <c r="K69" s="147"/>
      <c r="L69" s="24"/>
      <c r="M69" s="206"/>
      <c r="N69" s="147"/>
      <c r="O69" s="148"/>
      <c r="P69" s="179">
        <f>IF(NOT(NOT(IF(ISERROR(I69),ERROR.TYPE(#REF!)=ERROR.TYPE(I69),FALSE))),"Fail",IF(NOT(NOT(ISBLANK(I69))),"Fail",IF(NOT(ISNUMBER(I69)),"Fail",IF(NOT(LEN(I69)-FIND(".",I69&amp;".")&lt;=0),"Fail",IF(NOT(OR(I69=0,I69&lt;-100)),"Fail","Pass")))))</f>
      </c>
      <c r="Q69" s="148"/>
      <c r="R69" s="149"/>
      <c r="S69" s="207">
        <f>IF(NOT(NOT(IF(ISERROR(I69),ERROR.TYPE(#REF!)=ERROR.TYPE(I69),FALSE))),"UNDO NOW (use button or Ctrl+Z)! CANNOT DRAG-AND-DROP CELLS",IF(NOT(NOT(ISBLANK(I69))),"input required",IF(NOT(ISNUMBER(I69)),"enter a number",IF(NOT(LEN(I69)-FIND(".",I69&amp;".")&lt;=0),"whole number only",IF(NOT(OR(I69=0,I69&lt;-100)),"must be 0 or &lt; -100","")))))</f>
      </c>
      <c r="T69" s="149"/>
      <c r="U69" s="53"/>
      <c r="V69" s="150"/>
      <c r="W69" s="255"/>
      <c r="X69" s="150"/>
      <c r="Y69" s="22"/>
    </row>
    <row r="70" spans="1:25" ht="15" thickBot="1">
      <c r="A70" s="22"/>
      <c r="B70" s="142"/>
      <c r="C70" s="205" t="s">
        <v>152</v>
      </c>
      <c r="D70" s="142"/>
      <c r="E70" s="144"/>
      <c r="F70" s="206" t="s">
        <v>66</v>
      </c>
      <c r="G70" s="144"/>
      <c r="H70" s="25"/>
      <c r="I70" s="259"/>
      <c r="J70" s="25"/>
      <c r="K70" s="147"/>
      <c r="L70" s="24"/>
      <c r="M70" s="206"/>
      <c r="N70" s="147"/>
      <c r="O70" s="148"/>
      <c r="P70" s="179">
        <f>IF(NOT(NOT(IF(ISERROR(I70),ERROR.TYPE(#REF!)=ERROR.TYPE(I70),FALSE))),"Fail",IF(NOT(NOT(ISBLANK(I70))),"Fail",IF(NOT(ISNUMBER(I70)),"Fail",IF(NOT(LEN(I70)-FIND(".",I70&amp;".")&lt;=0),"Fail",IF(NOT(OR(I70=0,I70&lt;-100)),"Fail","Pass")))))</f>
      </c>
      <c r="Q70" s="148"/>
      <c r="R70" s="149"/>
      <c r="S70" s="207">
        <f>IF(NOT(NOT(IF(ISERROR(I70),ERROR.TYPE(#REF!)=ERROR.TYPE(I70),FALSE))),"UNDO NOW (use button or Ctrl+Z)! CANNOT DRAG-AND-DROP CELLS",IF(NOT(NOT(ISBLANK(I70))),"input required",IF(NOT(ISNUMBER(I70)),"enter a number",IF(NOT(LEN(I70)-FIND(".",I70&amp;".")&lt;=0),"whole number only",IF(NOT(OR(I70=0,I70&lt;-100)),"must be 0 or &lt; -100","")))))</f>
      </c>
      <c r="T70" s="149"/>
      <c r="U70" s="53"/>
      <c r="V70" s="150"/>
      <c r="W70" s="255"/>
      <c r="X70" s="150"/>
      <c r="Y70" s="22"/>
    </row>
    <row r="71" spans="1:25" ht="15" hidden="1">
      <c r="A71" s="22"/>
      <c r="B71" s="142"/>
      <c r="C71" s="204"/>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15" hidden="1" thickBot="1">
      <c r="A72" s="22"/>
      <c r="B72" s="142"/>
      <c r="C72" s="226"/>
      <c r="D72" s="142"/>
      <c r="E72" s="144"/>
      <c r="F72" s="145"/>
      <c r="G72" s="144"/>
      <c r="H72" s="25"/>
      <c r="I72" s="177"/>
      <c r="J72" s="25"/>
      <c r="K72" s="147"/>
      <c r="L72" s="24"/>
      <c r="M72" s="145"/>
      <c r="N72" s="147"/>
      <c r="O72" s="148"/>
      <c r="P72" s="24"/>
      <c r="Q72" s="148"/>
      <c r="R72" s="149"/>
      <c r="S72" s="146"/>
      <c r="T72" s="149"/>
      <c r="U72" s="53"/>
      <c r="V72" s="150"/>
      <c r="W72" s="255"/>
      <c r="X72" s="150"/>
      <c r="Y72" s="22"/>
    </row>
    <row r="73" spans="1:25" ht="15" thickBot="1">
      <c r="A73" s="22"/>
      <c r="B73" s="142"/>
      <c r="C73" s="227" t="s">
        <v>151</v>
      </c>
      <c r="D73" s="142"/>
      <c r="E73" s="144"/>
      <c r="F73" s="206" t="s">
        <v>66</v>
      </c>
      <c r="G73" s="144"/>
      <c r="H73" s="25"/>
      <c r="I73" s="233">
        <f>IF(AND(OR(ISBLANK(I69),I69=""),OR(ISBLANK(I70),I70="")),"",SUM(I69,I70))</f>
      </c>
      <c r="J73" s="25"/>
      <c r="K73" s="147"/>
      <c r="L73" s="24"/>
      <c r="M73" s="206"/>
      <c r="N73" s="147"/>
      <c r="O73" s="148"/>
      <c r="P73" s="179">
        <f>IF(TRUE,"PassBecauseNoConstraints","ERROR")</f>
      </c>
      <c r="Q73" s="148"/>
      <c r="R73" s="149"/>
      <c r="S73" s="207">
        <f>IF(TRUE,"","ERROR")</f>
      </c>
      <c r="T73" s="149"/>
      <c r="U73" s="53"/>
      <c r="V73" s="150"/>
      <c r="W73" s="255"/>
      <c r="X73" s="150"/>
      <c r="Y73" s="22"/>
    </row>
    <row r="74" spans="1:25" ht="15" hidden="1">
      <c r="A74" s="22"/>
      <c r="B74" s="142"/>
      <c r="C74" s="226"/>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customHeight="1">
      <c r="A75" s="22"/>
      <c r="B75" s="142"/>
      <c r="C75" s="201"/>
      <c r="D75" s="142"/>
      <c r="E75" s="144"/>
      <c r="F75" s="145"/>
      <c r="G75" s="144"/>
      <c r="H75" s="25"/>
      <c r="I75" s="146"/>
      <c r="J75" s="25"/>
      <c r="K75" s="147"/>
      <c r="L75" s="24"/>
      <c r="M75" s="145"/>
      <c r="N75" s="147"/>
      <c r="O75" s="148"/>
      <c r="P75" s="24"/>
      <c r="Q75" s="148"/>
      <c r="R75" s="149"/>
      <c r="S75" s="146"/>
      <c r="T75" s="149"/>
      <c r="U75" s="53"/>
      <c r="V75" s="150"/>
      <c r="W75" s="255"/>
      <c r="X75" s="150"/>
      <c r="Y75" s="22"/>
    </row>
    <row r="76" spans="1:25" ht="15" hidden="1">
      <c r="A76" s="22"/>
      <c r="B76" s="142"/>
      <c r="C76" s="201"/>
      <c r="D76" s="142"/>
      <c r="E76" s="144"/>
      <c r="F76" s="145"/>
      <c r="G76" s="144"/>
      <c r="H76" s="25"/>
      <c r="I76" s="146"/>
      <c r="J76" s="25"/>
      <c r="K76" s="147"/>
      <c r="L76" s="24"/>
      <c r="M76" s="145"/>
      <c r="N76" s="147"/>
      <c r="O76" s="148"/>
      <c r="P76" s="24"/>
      <c r="Q76" s="148"/>
      <c r="R76" s="149"/>
      <c r="S76" s="146"/>
      <c r="T76" s="149"/>
      <c r="U76" s="53"/>
      <c r="V76" s="150"/>
      <c r="W76" s="255"/>
      <c r="X76" s="150"/>
      <c r="Y76" s="22"/>
    </row>
    <row r="77" spans="1:25" ht="15" hidden="1" thickBot="1">
      <c r="A77" s="22"/>
      <c r="B77" s="142"/>
      <c r="C77" s="226"/>
      <c r="D77" s="142"/>
      <c r="E77" s="144"/>
      <c r="F77" s="145"/>
      <c r="G77" s="144"/>
      <c r="H77" s="25"/>
      <c r="I77" s="177"/>
      <c r="J77" s="25"/>
      <c r="K77" s="147"/>
      <c r="L77" s="24"/>
      <c r="M77" s="145"/>
      <c r="N77" s="147"/>
      <c r="O77" s="148"/>
      <c r="P77" s="24"/>
      <c r="Q77" s="148"/>
      <c r="R77" s="149"/>
      <c r="S77" s="146"/>
      <c r="T77" s="149"/>
      <c r="U77" s="53"/>
      <c r="V77" s="150"/>
      <c r="W77" s="255"/>
      <c r="X77" s="150"/>
      <c r="Y77" s="22"/>
    </row>
    <row r="78" spans="1:25" ht="15" thickBot="1">
      <c r="A78" s="22"/>
      <c r="B78" s="142"/>
      <c r="C78" s="227" t="s">
        <v>150</v>
      </c>
      <c r="D78" s="142"/>
      <c r="E78" s="144"/>
      <c r="F78" s="206" t="s">
        <v>66</v>
      </c>
      <c r="G78" s="144"/>
      <c r="H78" s="25"/>
      <c r="I78" s="233">
        <f>IF(AND(OR(ISBLANK(I54),I54=""),OR(ISBLANK(I73),I73="")),"",SUM(I54,I73))</f>
      </c>
      <c r="J78" s="25"/>
      <c r="K78" s="147"/>
      <c r="L78" s="24"/>
      <c r="M78" s="206"/>
      <c r="N78" s="147"/>
      <c r="O78" s="148"/>
      <c r="P78" s="179">
        <f>IF(TRUE,"PassBecauseNoConstraints","ERROR")</f>
      </c>
      <c r="Q78" s="148"/>
      <c r="R78" s="149"/>
      <c r="S78" s="207">
        <f>IF(TRUE,"","ERROR")</f>
      </c>
      <c r="T78" s="149"/>
      <c r="U78" s="53"/>
      <c r="V78" s="150"/>
      <c r="W78" s="255"/>
      <c r="X78" s="150"/>
      <c r="Y78" s="22"/>
    </row>
    <row r="79" spans="1:25" ht="15" thickBot="1">
      <c r="A79" s="22"/>
      <c r="B79" s="142"/>
      <c r="C79" s="227" t="s">
        <v>149</v>
      </c>
      <c r="D79" s="142"/>
      <c r="E79" s="144"/>
      <c r="F79" s="206" t="s">
        <v>66</v>
      </c>
      <c r="G79" s="144"/>
      <c r="H79" s="25"/>
      <c r="I79" s="233">
        <f>IF(AND(OR(ISBLANK(I31),I31=""),OR(ISBLANK(I78),I78="")),"",(IF(I31="",0,I31)-IF(I78="",0,I78)))</f>
      </c>
      <c r="J79" s="25"/>
      <c r="K79" s="147"/>
      <c r="L79" s="24"/>
      <c r="M79" s="206"/>
      <c r="N79" s="147"/>
      <c r="O79" s="148"/>
      <c r="P79" s="179">
        <f>IF(TRUE,"PassBecauseNoConstraints","ERROR")</f>
      </c>
      <c r="Q79" s="148"/>
      <c r="R79" s="149"/>
      <c r="S79" s="207">
        <f>IF(TRUE,"","ERROR")</f>
      </c>
      <c r="T79" s="149"/>
      <c r="U79" s="53"/>
      <c r="V79" s="150"/>
      <c r="W79" s="255"/>
      <c r="X79" s="150"/>
      <c r="Y79" s="22"/>
    </row>
    <row r="80" spans="1:25" ht="15" thickBot="1">
      <c r="A80" s="22"/>
      <c r="B80" s="142"/>
      <c r="C80" s="227" t="s">
        <v>148</v>
      </c>
      <c r="D80" s="142"/>
      <c r="E80" s="144"/>
      <c r="F80" s="206"/>
      <c r="G80" s="144"/>
      <c r="H80" s="25"/>
      <c r="I80" s="278">
        <f>IF(OR(OR(ISBLANK(100),100=""),OR(ISBLANK(IF(OR(OR(ISBLANK(I79),I79=""),OR(ISBLANK(I31),I31="")),"",(I79/I31))),IF(OR(OR(ISBLANK(I79),I79=""),OR(ISBLANK(I31),I31="")),"",(I79/I31))="")),"",(100*IF(OR(OR(ISBLANK(I79),I79=""),OR(ISBLANK(I31),I31="")),"",(I79/I31))))</f>
      </c>
      <c r="J80" s="25"/>
      <c r="K80" s="147"/>
      <c r="L80" s="206" t="s">
        <v>70</v>
      </c>
      <c r="M80" s="206"/>
      <c r="N80" s="147"/>
      <c r="O80" s="148"/>
      <c r="P80" s="179">
        <f>IF(TRUE,"PassBecauseNoConstraints","ERROR")</f>
      </c>
      <c r="Q80" s="148"/>
      <c r="R80" s="149"/>
      <c r="S80" s="207">
        <f>IF(TRUE,"","ERROR")</f>
      </c>
      <c r="T80" s="149"/>
      <c r="U80" s="53"/>
      <c r="V80" s="150"/>
      <c r="W80" s="255"/>
      <c r="X80" s="150"/>
      <c r="Y80" s="22"/>
    </row>
    <row r="81" spans="1:25" ht="15" hidden="1">
      <c r="A81" s="22"/>
      <c r="B81" s="142"/>
      <c r="C81" s="226"/>
      <c r="D81" s="142"/>
      <c r="E81" s="144"/>
      <c r="F81" s="145"/>
      <c r="G81" s="144"/>
      <c r="H81" s="25"/>
      <c r="I81" s="146"/>
      <c r="J81" s="25"/>
      <c r="K81" s="147"/>
      <c r="L81" s="24"/>
      <c r="M81" s="145"/>
      <c r="N81" s="147"/>
      <c r="O81" s="148"/>
      <c r="P81" s="24"/>
      <c r="Q81" s="148"/>
      <c r="R81" s="149"/>
      <c r="S81" s="146"/>
      <c r="T81" s="149"/>
      <c r="U81" s="53"/>
      <c r="V81" s="150"/>
      <c r="W81" s="255"/>
      <c r="X81" s="150"/>
      <c r="Y81" s="22"/>
    </row>
    <row r="82" spans="1:25" ht="15" customHeight="1">
      <c r="A82" s="22"/>
      <c r="B82" s="142"/>
      <c r="C82" s="201"/>
      <c r="D82" s="142"/>
      <c r="E82" s="144"/>
      <c r="F82" s="145"/>
      <c r="G82" s="144"/>
      <c r="H82" s="25"/>
      <c r="I82" s="146"/>
      <c r="J82" s="25"/>
      <c r="K82" s="147"/>
      <c r="L82" s="24"/>
      <c r="M82" s="145"/>
      <c r="N82" s="147"/>
      <c r="O82" s="148"/>
      <c r="P82" s="24"/>
      <c r="Q82" s="148"/>
      <c r="R82" s="149"/>
      <c r="S82" s="146"/>
      <c r="T82" s="149"/>
      <c r="U82" s="53"/>
      <c r="V82" s="150"/>
      <c r="W82" s="255"/>
      <c r="X82" s="150"/>
      <c r="Y82" s="22"/>
    </row>
    <row r="83" spans="1:25" ht="15" hidden="1">
      <c r="A83" s="22"/>
      <c r="B83" s="142"/>
      <c r="C83" s="200"/>
      <c r="D83" s="142"/>
      <c r="E83" s="144"/>
      <c r="F83" s="145"/>
      <c r="G83" s="144"/>
      <c r="H83" s="25"/>
      <c r="I83" s="146"/>
      <c r="J83" s="25"/>
      <c r="K83" s="147"/>
      <c r="L83" s="24"/>
      <c r="M83" s="145"/>
      <c r="N83" s="147"/>
      <c r="O83" s="148"/>
      <c r="P83" s="24"/>
      <c r="Q83" s="148"/>
      <c r="R83" s="149"/>
      <c r="S83" s="146"/>
      <c r="T83" s="149"/>
      <c r="U83" s="53"/>
      <c r="V83" s="150"/>
      <c r="W83" s="255"/>
      <c r="X83" s="150"/>
      <c r="Y83" s="22"/>
    </row>
    <row r="84" spans="1:25" ht="15" customHeight="1">
      <c r="A84" s="22"/>
      <c r="B84" s="142"/>
      <c r="C84" s="192"/>
      <c r="D84" s="142"/>
      <c r="E84" s="144"/>
      <c r="F84" s="145"/>
      <c r="G84" s="144"/>
      <c r="H84" s="25"/>
      <c r="I84" s="146"/>
      <c r="J84" s="25"/>
      <c r="K84" s="147"/>
      <c r="L84" s="24"/>
      <c r="M84" s="145"/>
      <c r="N84" s="147"/>
      <c r="O84" s="148"/>
      <c r="P84" s="24"/>
      <c r="Q84" s="148"/>
      <c r="R84" s="149"/>
      <c r="S84" s="146"/>
      <c r="T84" s="149"/>
      <c r="U84" s="53"/>
      <c r="V84" s="150"/>
      <c r="W84" s="255"/>
      <c r="X84" s="150"/>
      <c r="Y84" s="22"/>
    </row>
    <row r="85" spans="1:25" ht="15" hidden="1">
      <c r="A85" s="22"/>
      <c r="B85" s="142"/>
      <c r="C85" s="192"/>
      <c r="D85" s="142"/>
      <c r="E85" s="144"/>
      <c r="F85" s="145"/>
      <c r="G85" s="144"/>
      <c r="H85" s="25"/>
      <c r="I85" s="146"/>
      <c r="J85" s="25"/>
      <c r="K85" s="147"/>
      <c r="L85" s="24"/>
      <c r="M85" s="145"/>
      <c r="N85" s="147"/>
      <c r="O85" s="148"/>
      <c r="P85" s="24"/>
      <c r="Q85" s="148"/>
      <c r="R85" s="149"/>
      <c r="S85" s="146"/>
      <c r="T85" s="149"/>
      <c r="U85" s="53"/>
      <c r="V85" s="150"/>
      <c r="W85" s="255"/>
      <c r="X85" s="150"/>
      <c r="Y85" s="22"/>
    </row>
    <row r="86" spans="1:25" ht="15" hidden="1">
      <c r="A86" s="22"/>
      <c r="B86" s="142"/>
      <c r="C86" s="193"/>
      <c r="D86" s="142"/>
      <c r="E86" s="144"/>
      <c r="F86" s="145"/>
      <c r="G86" s="144"/>
      <c r="H86" s="25"/>
      <c r="I86" s="146"/>
      <c r="J86" s="25"/>
      <c r="K86" s="147"/>
      <c r="L86" s="24"/>
      <c r="M86" s="145"/>
      <c r="N86" s="147"/>
      <c r="O86" s="148"/>
      <c r="P86" s="24"/>
      <c r="Q86" s="148"/>
      <c r="R86" s="149"/>
      <c r="S86" s="146"/>
      <c r="T86" s="149"/>
      <c r="U86" s="53"/>
      <c r="V86" s="150"/>
      <c r="W86" s="255"/>
      <c r="X86" s="150"/>
      <c r="Y86" s="22"/>
    </row>
    <row r="87" spans="1:25" ht="21">
      <c r="A87" s="22"/>
      <c r="B87" s="142"/>
      <c r="C87" s="166" t="s">
        <v>147</v>
      </c>
      <c r="D87" s="142"/>
      <c r="E87" s="144"/>
      <c r="F87" s="145"/>
      <c r="G87" s="144"/>
      <c r="H87" s="25"/>
      <c r="I87" s="146"/>
      <c r="J87" s="25"/>
      <c r="K87" s="147"/>
      <c r="L87" s="24"/>
      <c r="M87" s="145"/>
      <c r="N87" s="147"/>
      <c r="O87" s="148"/>
      <c r="P87" s="24"/>
      <c r="Q87" s="148"/>
      <c r="R87" s="149"/>
      <c r="S87" s="146"/>
      <c r="T87" s="149"/>
      <c r="U87" s="53"/>
      <c r="V87" s="150"/>
      <c r="W87" s="255"/>
      <c r="X87" s="150"/>
      <c r="Y87" s="22"/>
    </row>
    <row r="88" spans="1:25" ht="7.5" customHeight="1">
      <c r="A88" s="22"/>
      <c r="B88" s="142"/>
      <c r="C88" s="193"/>
      <c r="D88" s="142"/>
      <c r="E88" s="144"/>
      <c r="F88" s="145"/>
      <c r="G88" s="144"/>
      <c r="H88" s="25"/>
      <c r="I88" s="146"/>
      <c r="J88" s="25"/>
      <c r="K88" s="147"/>
      <c r="L88" s="24"/>
      <c r="M88" s="145"/>
      <c r="N88" s="147"/>
      <c r="O88" s="148"/>
      <c r="P88" s="24"/>
      <c r="Q88" s="148"/>
      <c r="R88" s="149"/>
      <c r="S88" s="146"/>
      <c r="T88" s="149"/>
      <c r="U88" s="53"/>
      <c r="V88" s="150"/>
      <c r="W88" s="255"/>
      <c r="X88" s="150"/>
      <c r="Y88" s="22"/>
    </row>
    <row r="89" spans="1:25" ht="15" hidden="1">
      <c r="A89" s="22"/>
      <c r="B89" s="142"/>
      <c r="C89" s="200"/>
      <c r="D89" s="142"/>
      <c r="E89" s="144"/>
      <c r="F89" s="145"/>
      <c r="G89" s="144"/>
      <c r="H89" s="25"/>
      <c r="I89" s="146"/>
      <c r="J89" s="25"/>
      <c r="K89" s="147"/>
      <c r="L89" s="24"/>
      <c r="M89" s="145"/>
      <c r="N89" s="147"/>
      <c r="O89" s="148"/>
      <c r="P89" s="24"/>
      <c r="Q89" s="148"/>
      <c r="R89" s="149"/>
      <c r="S89" s="146"/>
      <c r="T89" s="149"/>
      <c r="U89" s="53"/>
      <c r="V89" s="150"/>
      <c r="W89" s="255"/>
      <c r="X89" s="150"/>
      <c r="Y89" s="22"/>
    </row>
    <row r="90" spans="1:25" ht="15" hidden="1">
      <c r="A90" s="22"/>
      <c r="B90" s="142"/>
      <c r="C90" s="201"/>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c r="A91" s="22"/>
      <c r="B91" s="142"/>
      <c r="C91" s="202"/>
      <c r="D91" s="142"/>
      <c r="E91" s="144"/>
      <c r="F91" s="145"/>
      <c r="G91" s="144"/>
      <c r="H91" s="25"/>
      <c r="I91" s="146"/>
      <c r="J91" s="25"/>
      <c r="K91" s="147"/>
      <c r="L91" s="24"/>
      <c r="M91" s="145"/>
      <c r="N91" s="147"/>
      <c r="O91" s="148"/>
      <c r="P91" s="24"/>
      <c r="Q91" s="148"/>
      <c r="R91" s="149"/>
      <c r="S91" s="146"/>
      <c r="T91" s="149"/>
      <c r="U91" s="53"/>
      <c r="V91" s="150"/>
      <c r="W91" s="255"/>
      <c r="X91" s="150"/>
      <c r="Y91" s="22"/>
    </row>
    <row r="92" spans="1:25" ht="18.75">
      <c r="A92" s="22"/>
      <c r="B92" s="142"/>
      <c r="C92" s="203" t="s">
        <v>146</v>
      </c>
      <c r="D92" s="142"/>
      <c r="E92" s="144"/>
      <c r="F92" s="145"/>
      <c r="G92" s="144"/>
      <c r="H92" s="25"/>
      <c r="I92" s="146"/>
      <c r="J92" s="25"/>
      <c r="K92" s="147"/>
      <c r="L92" s="24"/>
      <c r="M92" s="145"/>
      <c r="N92" s="147"/>
      <c r="O92" s="148"/>
      <c r="P92" s="24"/>
      <c r="Q92" s="148"/>
      <c r="R92" s="149"/>
      <c r="S92" s="146"/>
      <c r="T92" s="149"/>
      <c r="U92" s="53"/>
      <c r="V92" s="150"/>
      <c r="W92" s="255"/>
      <c r="X92" s="150"/>
      <c r="Y92" s="22"/>
    </row>
    <row r="93" spans="1:25" ht="7.5" customHeight="1">
      <c r="A93" s="22"/>
      <c r="B93" s="142"/>
      <c r="C93" s="202"/>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hidden="1">
      <c r="A94" s="22"/>
      <c r="B94" s="142"/>
      <c r="C94" s="208"/>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30">
      <c r="A95" s="22"/>
      <c r="B95" s="142"/>
      <c r="C95" s="217" t="s">
        <v>145</v>
      </c>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30">
      <c r="A96" s="22"/>
      <c r="B96" s="142"/>
      <c r="C96" s="217" t="s">
        <v>144</v>
      </c>
      <c r="D96" s="142"/>
      <c r="E96" s="144"/>
      <c r="F96" s="145"/>
      <c r="G96" s="144"/>
      <c r="H96" s="25"/>
      <c r="I96" s="146"/>
      <c r="J96" s="25"/>
      <c r="K96" s="147"/>
      <c r="L96" s="24"/>
      <c r="M96" s="145"/>
      <c r="N96" s="147"/>
      <c r="O96" s="148"/>
      <c r="P96" s="24"/>
      <c r="Q96" s="148"/>
      <c r="R96" s="149"/>
      <c r="S96" s="146"/>
      <c r="T96" s="149"/>
      <c r="U96" s="53"/>
      <c r="V96" s="150"/>
      <c r="W96" s="255"/>
      <c r="X96" s="150"/>
      <c r="Y96" s="22"/>
    </row>
    <row r="97" spans="1:25" ht="15" customHeight="1">
      <c r="A97" s="22"/>
      <c r="B97" s="142"/>
      <c r="C97" s="208"/>
      <c r="D97" s="142"/>
      <c r="E97" s="144"/>
      <c r="F97" s="145"/>
      <c r="G97" s="144"/>
      <c r="H97" s="25"/>
      <c r="I97" s="146"/>
      <c r="J97" s="25"/>
      <c r="K97" s="147"/>
      <c r="L97" s="24"/>
      <c r="M97" s="145"/>
      <c r="N97" s="147"/>
      <c r="O97" s="148"/>
      <c r="P97" s="24"/>
      <c r="Q97" s="148"/>
      <c r="R97" s="149"/>
      <c r="S97" s="146"/>
      <c r="T97" s="149"/>
      <c r="U97" s="53"/>
      <c r="V97" s="150"/>
      <c r="W97" s="255"/>
      <c r="X97" s="150"/>
      <c r="Y97" s="22"/>
    </row>
    <row r="98" spans="1:25" ht="15" hidden="1" thickBot="1">
      <c r="A98" s="22"/>
      <c r="B98" s="142"/>
      <c r="C98" s="204"/>
      <c r="D98" s="142"/>
      <c r="E98" s="144"/>
      <c r="F98" s="145"/>
      <c r="G98" s="144"/>
      <c r="H98" s="25"/>
      <c r="I98" s="177"/>
      <c r="J98" s="25"/>
      <c r="K98" s="147"/>
      <c r="L98" s="24"/>
      <c r="M98" s="145"/>
      <c r="N98" s="147"/>
      <c r="O98" s="148"/>
      <c r="P98" s="24"/>
      <c r="Q98" s="148"/>
      <c r="R98" s="149"/>
      <c r="S98" s="146"/>
      <c r="T98" s="149"/>
      <c r="U98" s="53"/>
      <c r="V98" s="150"/>
      <c r="W98" s="255"/>
      <c r="X98" s="150"/>
      <c r="Y98" s="22"/>
    </row>
    <row r="99" spans="1:25" ht="15">
      <c r="A99" s="22"/>
      <c r="B99" s="142"/>
      <c r="C99" s="205" t="s">
        <v>143</v>
      </c>
      <c r="D99" s="142"/>
      <c r="E99" s="144"/>
      <c r="F99" s="206" t="s">
        <v>66</v>
      </c>
      <c r="G99" s="144"/>
      <c r="H99" s="25"/>
      <c r="I99" s="258"/>
      <c r="J99" s="25"/>
      <c r="K99" s="147"/>
      <c r="L99" s="24"/>
      <c r="M99" s="206"/>
      <c r="N99" s="147"/>
      <c r="O99" s="148"/>
      <c r="P99" s="179">
        <f>IF(NOT(NOT(IF(ISERROR(I99),ERROR.TYPE(#REF!)=ERROR.TYPE(I99),FALSE))),"Fail",IF(NOT(NOT(ISBLANK(I99))),"Fail",IF(NOT(ISNUMBER(I99)),"Fail",IF(NOT(LEN(I99)-FIND(".",I99&amp;".")&lt;=0),"Fail","Pass"))))</f>
      </c>
      <c r="Q99" s="148"/>
      <c r="R99" s="149"/>
      <c r="S99" s="207">
        <f>IF(NOT(NOT(IF(ISERROR(I99),ERROR.TYPE(#REF!)=ERROR.TYPE(I99),FALSE))),"UNDO NOW (use button or Ctrl+Z)! CANNOT DRAG-AND-DROP CELLS",IF(NOT(NOT(ISBLANK(I99))),"input required",IF(NOT(ISNUMBER(I99)),"enter a number",IF(NOT(LEN(I99)-FIND(".",I99&amp;".")&lt;=0),"whole number only",""))))</f>
      </c>
      <c r="T99" s="149"/>
      <c r="U99" s="53"/>
      <c r="V99" s="150"/>
      <c r="W99" s="255"/>
      <c r="X99" s="150"/>
      <c r="Y99" s="22"/>
    </row>
    <row r="100" spans="1:25" ht="15">
      <c r="A100" s="22"/>
      <c r="B100" s="142"/>
      <c r="C100" s="205" t="s">
        <v>142</v>
      </c>
      <c r="D100" s="142"/>
      <c r="E100" s="144"/>
      <c r="F100" s="206" t="s">
        <v>66</v>
      </c>
      <c r="G100" s="144"/>
      <c r="H100" s="25"/>
      <c r="I100" s="260"/>
      <c r="J100" s="25"/>
      <c r="K100" s="147"/>
      <c r="L100" s="24"/>
      <c r="M100" s="206"/>
      <c r="N100" s="147"/>
      <c r="O100" s="148"/>
      <c r="P100" s="179">
        <f>IF(NOT(NOT(IF(ISERROR(I100),ERROR.TYPE(#REF!)=ERROR.TYPE(I100),FALSE))),"Fail",IF(NOT(NOT(ISBLANK(I100))),"Fail",IF(NOT(ISNUMBER(I100)),"Fail",IF(NOT(LEN(I100)-FIND(".",I100&amp;".")&lt;=0),"Fail","Pass"))))</f>
      </c>
      <c r="Q100" s="148"/>
      <c r="R100" s="149"/>
      <c r="S100" s="207">
        <f>IF(NOT(NOT(IF(ISERROR(I100),ERROR.TYPE(#REF!)=ERROR.TYPE(I100),FALSE))),"UNDO NOW (use button or Ctrl+Z)! CANNOT DRAG-AND-DROP CELLS",IF(NOT(NOT(ISBLANK(I100))),"input required",IF(NOT(ISNUMBER(I100)),"enter a number",IF(NOT(LEN(I100)-FIND(".",I100&amp;".")&lt;=0),"whole number only",""))))</f>
      </c>
      <c r="T100" s="149"/>
      <c r="U100" s="53"/>
      <c r="V100" s="150"/>
      <c r="W100" s="255"/>
      <c r="X100" s="150"/>
      <c r="Y100" s="22"/>
    </row>
    <row r="101" spans="1:25" ht="15">
      <c r="A101" s="22"/>
      <c r="B101" s="142"/>
      <c r="C101" s="205" t="s">
        <v>141</v>
      </c>
      <c r="D101" s="142"/>
      <c r="E101" s="144"/>
      <c r="F101" s="206" t="s">
        <v>66</v>
      </c>
      <c r="G101" s="144"/>
      <c r="H101" s="25"/>
      <c r="I101" s="260"/>
      <c r="J101" s="25"/>
      <c r="K101" s="147"/>
      <c r="L101" s="24"/>
      <c r="M101" s="206"/>
      <c r="N101" s="147"/>
      <c r="O101" s="148"/>
      <c r="P101" s="179">
        <f>IF(NOT(NOT(IF(ISERROR(I101),ERROR.TYPE(#REF!)=ERROR.TYPE(I101),FALSE))),"Fail",IF(NOT(NOT(ISBLANK(I101))),"Fail",IF(NOT(ISNUMBER(I101)),"Fail",IF(NOT(LEN(I101)-FIND(".",I101&amp;".")&lt;=0),"Fail","Pass"))))</f>
      </c>
      <c r="Q101" s="148"/>
      <c r="R101" s="149"/>
      <c r="S101" s="207">
        <f>IF(NOT(NOT(IF(ISERROR(I101),ERROR.TYPE(#REF!)=ERROR.TYPE(I101),FALSE))),"UNDO NOW (use button or Ctrl+Z)! CANNOT DRAG-AND-DROP CELLS",IF(NOT(NOT(ISBLANK(I101))),"input required",IF(NOT(ISNUMBER(I101)),"enter a number",IF(NOT(LEN(I101)-FIND(".",I101&amp;".")&lt;=0),"whole number only",""))))</f>
      </c>
      <c r="T101" s="149"/>
      <c r="U101" s="53"/>
      <c r="V101" s="150"/>
      <c r="W101" s="255"/>
      <c r="X101" s="150"/>
      <c r="Y101" s="22"/>
    </row>
    <row r="102" spans="1:25" ht="15">
      <c r="A102" s="22"/>
      <c r="B102" s="142"/>
      <c r="C102" s="205" t="s">
        <v>140</v>
      </c>
      <c r="D102" s="142"/>
      <c r="E102" s="144"/>
      <c r="F102" s="206" t="s">
        <v>66</v>
      </c>
      <c r="G102" s="144"/>
      <c r="H102" s="25"/>
      <c r="I102" s="260"/>
      <c r="J102" s="25"/>
      <c r="K102" s="147"/>
      <c r="L102" s="24"/>
      <c r="M102" s="206"/>
      <c r="N102" s="147"/>
      <c r="O102" s="148"/>
      <c r="P102" s="179">
        <f>IF(NOT(NOT(IF(ISERROR(I102),ERROR.TYPE(#REF!)=ERROR.TYPE(I102),FALSE))),"Fail",IF(NOT(NOT(ISBLANK(I102))),"Fail",IF(NOT(ISNUMBER(I102)),"Fail",IF(NOT(LEN(I102)-FIND(".",I102&amp;".")&lt;=0),"Fail","Pass"))))</f>
      </c>
      <c r="Q102" s="148"/>
      <c r="R102" s="149"/>
      <c r="S102" s="207">
        <f>IF(NOT(NOT(IF(ISERROR(I102),ERROR.TYPE(#REF!)=ERROR.TYPE(I102),FALSE))),"UNDO NOW (use button or Ctrl+Z)! CANNOT DRAG-AND-DROP CELLS",IF(NOT(NOT(ISBLANK(I102))),"input required",IF(NOT(ISNUMBER(I102)),"enter a number",IF(NOT(LEN(I102)-FIND(".",I102&amp;".")&lt;=0),"whole number only",""))))</f>
      </c>
      <c r="T102" s="149"/>
      <c r="U102" s="53"/>
      <c r="V102" s="150"/>
      <c r="W102" s="255"/>
      <c r="X102" s="150"/>
      <c r="Y102" s="22"/>
    </row>
    <row r="103" spans="1:25" ht="15">
      <c r="A103" s="22"/>
      <c r="B103" s="142"/>
      <c r="C103" s="205" t="s">
        <v>139</v>
      </c>
      <c r="D103" s="142"/>
      <c r="E103" s="144"/>
      <c r="F103" s="206" t="s">
        <v>66</v>
      </c>
      <c r="G103" s="144"/>
      <c r="H103" s="25"/>
      <c r="I103" s="260"/>
      <c r="J103" s="25"/>
      <c r="K103" s="147"/>
      <c r="L103" s="24"/>
      <c r="M103" s="206"/>
      <c r="N103" s="147"/>
      <c r="O103" s="148"/>
      <c r="P103" s="179">
        <f>IF(NOT(NOT(IF(ISERROR(I103),ERROR.TYPE(#REF!)=ERROR.TYPE(I103),FALSE))),"Fail",IF(NOT(NOT(ISBLANK(I103))),"Fail",IF(NOT(ISNUMBER(I103)),"Fail",IF(NOT(LEN(I103)-FIND(".",I103&amp;".")&lt;=0),"Fail","Pass"))))</f>
      </c>
      <c r="Q103" s="148"/>
      <c r="R103" s="149"/>
      <c r="S103" s="207">
        <f>IF(NOT(NOT(IF(ISERROR(I103),ERROR.TYPE(#REF!)=ERROR.TYPE(I103),FALSE))),"UNDO NOW (use button or Ctrl+Z)! CANNOT DRAG-AND-DROP CELLS",IF(NOT(NOT(ISBLANK(I103))),"input required",IF(NOT(ISNUMBER(I103)),"enter a number",IF(NOT(LEN(I103)-FIND(".",I103&amp;".")&lt;=0),"whole number only",""))))</f>
      </c>
      <c r="T103" s="149"/>
      <c r="U103" s="53"/>
      <c r="V103" s="150"/>
      <c r="W103" s="255"/>
      <c r="X103" s="150"/>
      <c r="Y103" s="22"/>
    </row>
    <row r="104" spans="1:25" ht="15">
      <c r="A104" s="22"/>
      <c r="B104" s="142"/>
      <c r="C104" s="205" t="s">
        <v>138</v>
      </c>
      <c r="D104" s="142"/>
      <c r="E104" s="144"/>
      <c r="F104" s="206" t="s">
        <v>66</v>
      </c>
      <c r="G104" s="144"/>
      <c r="H104" s="25"/>
      <c r="I104" s="260"/>
      <c r="J104" s="25"/>
      <c r="K104" s="147"/>
      <c r="L104" s="24"/>
      <c r="M104" s="206"/>
      <c r="N104" s="147"/>
      <c r="O104" s="148"/>
      <c r="P104" s="179">
        <f>IF(NOT(NOT(IF(ISERROR(I104),ERROR.TYPE(#REF!)=ERROR.TYPE(I104),FALSE))),"Fail",IF(NOT(NOT(ISBLANK(I104))),"Fail",IF(NOT(ISNUMBER(I104)),"Fail",IF(NOT(LEN(I104)-FIND(".",I104&amp;".")&lt;=0),"Fail","Pass"))))</f>
      </c>
      <c r="Q104" s="148"/>
      <c r="R104" s="149"/>
      <c r="S104" s="207">
        <f>IF(NOT(NOT(IF(ISERROR(I104),ERROR.TYPE(#REF!)=ERROR.TYPE(I104),FALSE))),"UNDO NOW (use button or Ctrl+Z)! CANNOT DRAG-AND-DROP CELLS",IF(NOT(NOT(ISBLANK(I104))),"input required",IF(NOT(ISNUMBER(I104)),"enter a number",IF(NOT(LEN(I104)-FIND(".",I104&amp;".")&lt;=0),"whole number only",""))))</f>
      </c>
      <c r="T104" s="149"/>
      <c r="U104" s="53"/>
      <c r="V104" s="150"/>
      <c r="W104" s="255"/>
      <c r="X104" s="150"/>
      <c r="Y104" s="22"/>
    </row>
    <row r="105" spans="1:25" ht="15">
      <c r="A105" s="22"/>
      <c r="B105" s="142"/>
      <c r="C105" s="205" t="s">
        <v>137</v>
      </c>
      <c r="D105" s="142"/>
      <c r="E105" s="144"/>
      <c r="F105" s="206" t="s">
        <v>66</v>
      </c>
      <c r="G105" s="144"/>
      <c r="H105" s="25"/>
      <c r="I105" s="260"/>
      <c r="J105" s="25"/>
      <c r="K105" s="147"/>
      <c r="L105" s="24"/>
      <c r="M105" s="206"/>
      <c r="N105" s="147"/>
      <c r="O105" s="148"/>
      <c r="P105" s="179">
        <f>IF(NOT(NOT(IF(ISERROR(I105),ERROR.TYPE(#REF!)=ERROR.TYPE(I105),FALSE))),"Fail",IF(NOT(NOT(ISBLANK(I105))),"Fail",IF(NOT(ISNUMBER(I105)),"Fail",IF(NOT(LEN(I105)-FIND(".",I105&amp;".")&lt;=0),"Fail","Pass"))))</f>
      </c>
      <c r="Q105" s="148"/>
      <c r="R105" s="149"/>
      <c r="S105" s="207">
        <f>IF(NOT(NOT(IF(ISERROR(I105),ERROR.TYPE(#REF!)=ERROR.TYPE(I105),FALSE))),"UNDO NOW (use button or Ctrl+Z)! CANNOT DRAG-AND-DROP CELLS",IF(NOT(NOT(ISBLANK(I105))),"input required",IF(NOT(ISNUMBER(I105)),"enter a number",IF(NOT(LEN(I105)-FIND(".",I105&amp;".")&lt;=0),"whole number only",""))))</f>
      </c>
      <c r="T105" s="149"/>
      <c r="U105" s="53"/>
      <c r="V105" s="150"/>
      <c r="W105" s="255"/>
      <c r="X105" s="150"/>
      <c r="Y105" s="22"/>
    </row>
    <row r="106" spans="1:25" ht="15">
      <c r="A106" s="22"/>
      <c r="B106" s="142"/>
      <c r="C106" s="205" t="s">
        <v>136</v>
      </c>
      <c r="D106" s="142"/>
      <c r="E106" s="144"/>
      <c r="F106" s="206" t="s">
        <v>66</v>
      </c>
      <c r="G106" s="144"/>
      <c r="H106" s="25"/>
      <c r="I106" s="260"/>
      <c r="J106" s="25"/>
      <c r="K106" s="147"/>
      <c r="L106" s="24"/>
      <c r="M106" s="206"/>
      <c r="N106" s="147"/>
      <c r="O106" s="148"/>
      <c r="P106" s="179">
        <f>IF(NOT(NOT(IF(ISERROR(I106),ERROR.TYPE(#REF!)=ERROR.TYPE(I106),FALSE))),"Fail",IF(NOT(NOT(ISBLANK(I106))),"Fail",IF(NOT(ISNUMBER(I106)),"Fail",IF(NOT(LEN(I106)-FIND(".",I106&amp;".")&lt;=0),"Fail","Pass"))))</f>
      </c>
      <c r="Q106" s="148"/>
      <c r="R106" s="149"/>
      <c r="S106" s="207">
        <f>IF(NOT(NOT(IF(ISERROR(I106),ERROR.TYPE(#REF!)=ERROR.TYPE(I106),FALSE))),"UNDO NOW (use button or Ctrl+Z)! CANNOT DRAG-AND-DROP CELLS",IF(NOT(NOT(ISBLANK(I106))),"input required",IF(NOT(ISNUMBER(I106)),"enter a number",IF(NOT(LEN(I106)-FIND(".",I106&amp;".")&lt;=0),"whole number only",""))))</f>
      </c>
      <c r="T106" s="149"/>
      <c r="U106" s="53"/>
      <c r="V106" s="150"/>
      <c r="W106" s="255"/>
      <c r="X106" s="150"/>
      <c r="Y106" s="22"/>
    </row>
    <row r="107" spans="1:25" ht="15">
      <c r="A107" s="22"/>
      <c r="B107" s="142"/>
      <c r="C107" s="205" t="s">
        <v>135</v>
      </c>
      <c r="D107" s="142"/>
      <c r="E107" s="144"/>
      <c r="F107" s="206" t="s">
        <v>66</v>
      </c>
      <c r="G107" s="144"/>
      <c r="H107" s="25"/>
      <c r="I107" s="260"/>
      <c r="J107" s="25"/>
      <c r="K107" s="147"/>
      <c r="L107" s="24"/>
      <c r="M107" s="206"/>
      <c r="N107" s="147"/>
      <c r="O107" s="148"/>
      <c r="P107" s="179">
        <f>IF(NOT(NOT(IF(ISERROR(I107),ERROR.TYPE(#REF!)=ERROR.TYPE(I107),FALSE))),"Fail",IF(NOT(NOT(ISBLANK(I107))),"Fail",IF(NOT(ISNUMBER(I107)),"Fail",IF(NOT(LEN(I107)-FIND(".",I107&amp;".")&lt;=0),"Fail","Pass"))))</f>
      </c>
      <c r="Q107" s="148"/>
      <c r="R107" s="149"/>
      <c r="S107" s="207">
        <f>IF(NOT(NOT(IF(ISERROR(I107),ERROR.TYPE(#REF!)=ERROR.TYPE(I107),FALSE))),"UNDO NOW (use button or Ctrl+Z)! CANNOT DRAG-AND-DROP CELLS",IF(NOT(NOT(ISBLANK(I107))),"input required",IF(NOT(ISNUMBER(I107)),"enter a number",IF(NOT(LEN(I107)-FIND(".",I107&amp;".")&lt;=0),"whole number only",""))))</f>
      </c>
      <c r="T107" s="149"/>
      <c r="U107" s="53"/>
      <c r="V107" s="150"/>
      <c r="W107" s="255"/>
      <c r="X107" s="150"/>
      <c r="Y107" s="22"/>
    </row>
    <row r="108" spans="1:25" ht="15">
      <c r="A108" s="22"/>
      <c r="B108" s="142"/>
      <c r="C108" s="205" t="s">
        <v>134</v>
      </c>
      <c r="D108" s="142"/>
      <c r="E108" s="144"/>
      <c r="F108" s="206" t="s">
        <v>66</v>
      </c>
      <c r="G108" s="144"/>
      <c r="H108" s="25"/>
      <c r="I108" s="260"/>
      <c r="J108" s="25"/>
      <c r="K108" s="147"/>
      <c r="L108" s="24"/>
      <c r="M108" s="206"/>
      <c r="N108" s="147"/>
      <c r="O108" s="148"/>
      <c r="P108" s="179">
        <f>IF(NOT(NOT(IF(ISERROR(I108),ERROR.TYPE(#REF!)=ERROR.TYPE(I108),FALSE))),"Fail",IF(NOT(NOT(ISBLANK(I108))),"Fail",IF(NOT(ISNUMBER(I108)),"Fail",IF(NOT(LEN(I108)-FIND(".",I108&amp;".")&lt;=0),"Fail","Pass"))))</f>
      </c>
      <c r="Q108" s="148"/>
      <c r="R108" s="149"/>
      <c r="S108" s="207">
        <f>IF(NOT(NOT(IF(ISERROR(I108),ERROR.TYPE(#REF!)=ERROR.TYPE(I108),FALSE))),"UNDO NOW (use button or Ctrl+Z)! CANNOT DRAG-AND-DROP CELLS",IF(NOT(NOT(ISBLANK(I108))),"input required",IF(NOT(ISNUMBER(I108)),"enter a number",IF(NOT(LEN(I108)-FIND(".",I108&amp;".")&lt;=0),"whole number only",""))))</f>
      </c>
      <c r="T108" s="149"/>
      <c r="U108" s="53"/>
      <c r="V108" s="150"/>
      <c r="W108" s="255"/>
      <c r="X108" s="150"/>
      <c r="Y108" s="22"/>
    </row>
    <row r="109" spans="1:25" ht="15">
      <c r="A109" s="22"/>
      <c r="B109" s="142"/>
      <c r="C109" s="205" t="s">
        <v>133</v>
      </c>
      <c r="D109" s="142"/>
      <c r="E109" s="144"/>
      <c r="F109" s="206" t="s">
        <v>66</v>
      </c>
      <c r="G109" s="144"/>
      <c r="H109" s="25"/>
      <c r="I109" s="260"/>
      <c r="J109" s="25"/>
      <c r="K109" s="147"/>
      <c r="L109" s="24"/>
      <c r="M109" s="206"/>
      <c r="N109" s="147"/>
      <c r="O109" s="148"/>
      <c r="P109" s="179">
        <f>IF(NOT(NOT(IF(ISERROR(I109),ERROR.TYPE(#REF!)=ERROR.TYPE(I109),FALSE))),"Fail",IF(NOT(NOT(ISBLANK(I109))),"Fail",IF(NOT(ISNUMBER(I109)),"Fail",IF(NOT(LEN(I109)-FIND(".",I109&amp;".")&lt;=0),"Fail","Pass"))))</f>
      </c>
      <c r="Q109" s="148"/>
      <c r="R109" s="149"/>
      <c r="S109" s="207">
        <f>IF(NOT(NOT(IF(ISERROR(I109),ERROR.TYPE(#REF!)=ERROR.TYPE(I109),FALSE))),"UNDO NOW (use button or Ctrl+Z)! CANNOT DRAG-AND-DROP CELLS",IF(NOT(NOT(ISBLANK(I109))),"input required",IF(NOT(ISNUMBER(I109)),"enter a number",IF(NOT(LEN(I109)-FIND(".",I109&amp;".")&lt;=0),"whole number only",""))))</f>
      </c>
      <c r="T109" s="149"/>
      <c r="U109" s="53"/>
      <c r="V109" s="150"/>
      <c r="W109" s="255"/>
      <c r="X109" s="150"/>
      <c r="Y109" s="22"/>
    </row>
    <row r="110" spans="1:25" ht="15">
      <c r="A110" s="22"/>
      <c r="B110" s="142"/>
      <c r="C110" s="205" t="s">
        <v>132</v>
      </c>
      <c r="D110" s="142"/>
      <c r="E110" s="144"/>
      <c r="F110" s="206" t="s">
        <v>66</v>
      </c>
      <c r="G110" s="144"/>
      <c r="H110" s="25"/>
      <c r="I110" s="260"/>
      <c r="J110" s="25"/>
      <c r="K110" s="147"/>
      <c r="L110" s="24"/>
      <c r="M110" s="206"/>
      <c r="N110" s="147"/>
      <c r="O110" s="148"/>
      <c r="P110" s="179">
        <f>IF(NOT(NOT(IF(ISERROR(I110),ERROR.TYPE(#REF!)=ERROR.TYPE(I110),FALSE))),"Fail",IF(NOT(NOT(ISBLANK(I110))),"Fail",IF(NOT(ISNUMBER(I110)),"Fail",IF(NOT(LEN(I110)-FIND(".",I110&amp;".")&lt;=0),"Fail","Pass"))))</f>
      </c>
      <c r="Q110" s="148"/>
      <c r="R110" s="149"/>
      <c r="S110" s="207">
        <f>IF(NOT(NOT(IF(ISERROR(I110),ERROR.TYPE(#REF!)=ERROR.TYPE(I110),FALSE))),"UNDO NOW (use button or Ctrl+Z)! CANNOT DRAG-AND-DROP CELLS",IF(NOT(NOT(ISBLANK(I110))),"input required",IF(NOT(ISNUMBER(I110)),"enter a number",IF(NOT(LEN(I110)-FIND(".",I110&amp;".")&lt;=0),"whole number only",""))))</f>
      </c>
      <c r="T110" s="149"/>
      <c r="U110" s="53"/>
      <c r="V110" s="150"/>
      <c r="W110" s="255"/>
      <c r="X110" s="150"/>
      <c r="Y110" s="22"/>
    </row>
    <row r="111" spans="1:25" ht="15" thickBot="1">
      <c r="A111" s="22"/>
      <c r="B111" s="142"/>
      <c r="C111" s="205" t="s">
        <v>131</v>
      </c>
      <c r="D111" s="142"/>
      <c r="E111" s="144"/>
      <c r="F111" s="206" t="s">
        <v>66</v>
      </c>
      <c r="G111" s="144"/>
      <c r="H111" s="25"/>
      <c r="I111" s="259"/>
      <c r="J111" s="25"/>
      <c r="K111" s="147"/>
      <c r="L111" s="24"/>
      <c r="M111" s="206"/>
      <c r="N111" s="147"/>
      <c r="O111" s="148"/>
      <c r="P111" s="179">
        <f>IF(NOT(NOT(IF(ISERROR(I111),ERROR.TYPE(#REF!)=ERROR.TYPE(I111),FALSE))),"Fail",IF(NOT(NOT(ISBLANK(I111))),"Fail",IF(NOT(ISNUMBER(I111)),"Fail",IF(NOT(LEN(I111)-FIND(".",I111&amp;".")&lt;=0),"Fail","Pass"))))</f>
      </c>
      <c r="Q111" s="148"/>
      <c r="R111" s="149"/>
      <c r="S111" s="207">
        <f>IF(NOT(NOT(IF(ISERROR(I111),ERROR.TYPE(#REF!)=ERROR.TYPE(I111),FALSE))),"UNDO NOW (use button or Ctrl+Z)! CANNOT DRAG-AND-DROP CELLS",IF(NOT(NOT(ISBLANK(I111))),"input required",IF(NOT(ISNUMBER(I111)),"enter a number",IF(NOT(LEN(I111)-FIND(".",I111&amp;".")&lt;=0),"whole number only",""))))</f>
      </c>
      <c r="T111" s="149"/>
      <c r="U111" s="53"/>
      <c r="V111" s="150"/>
      <c r="W111" s="255"/>
      <c r="X111" s="150"/>
      <c r="Y111" s="22"/>
    </row>
    <row r="112" spans="1:25" ht="15" hidden="1">
      <c r="A112" s="22"/>
      <c r="B112" s="142"/>
      <c r="C112" s="204"/>
      <c r="D112" s="142"/>
      <c r="E112" s="144"/>
      <c r="F112" s="145"/>
      <c r="G112" s="144"/>
      <c r="H112" s="25"/>
      <c r="I112" s="146"/>
      <c r="J112" s="25"/>
      <c r="K112" s="147"/>
      <c r="L112" s="24"/>
      <c r="M112" s="145"/>
      <c r="N112" s="147"/>
      <c r="O112" s="148"/>
      <c r="P112" s="24"/>
      <c r="Q112" s="148"/>
      <c r="R112" s="149"/>
      <c r="S112" s="146"/>
      <c r="T112" s="149"/>
      <c r="U112" s="53"/>
      <c r="V112" s="150"/>
      <c r="W112" s="255"/>
      <c r="X112" s="150"/>
      <c r="Y112" s="22"/>
    </row>
    <row r="113" spans="1:25" ht="15" hidden="1" thickBot="1">
      <c r="A113" s="22"/>
      <c r="B113" s="142"/>
      <c r="C113" s="226"/>
      <c r="D113" s="142"/>
      <c r="E113" s="144"/>
      <c r="F113" s="145"/>
      <c r="G113" s="144"/>
      <c r="H113" s="25"/>
      <c r="I113" s="177"/>
      <c r="J113" s="25"/>
      <c r="K113" s="147"/>
      <c r="L113" s="24"/>
      <c r="M113" s="145"/>
      <c r="N113" s="147"/>
      <c r="O113" s="148"/>
      <c r="P113" s="24"/>
      <c r="Q113" s="148"/>
      <c r="R113" s="149"/>
      <c r="S113" s="146"/>
      <c r="T113" s="149"/>
      <c r="U113" s="53"/>
      <c r="V113" s="150"/>
      <c r="W113" s="255"/>
      <c r="X113" s="150"/>
      <c r="Y113" s="22"/>
    </row>
    <row r="114" spans="1:25" ht="15" thickBot="1">
      <c r="A114" s="22"/>
      <c r="B114" s="142"/>
      <c r="C114" s="227" t="s">
        <v>130</v>
      </c>
      <c r="D114" s="142"/>
      <c r="E114" s="144"/>
      <c r="F114" s="206" t="s">
        <v>66</v>
      </c>
      <c r="G114" s="144"/>
      <c r="H114" s="25"/>
      <c r="I114" s="233">
        <f>IF(AND(OR(ISBLANK(I99),I99=""),OR(ISBLANK(I100),I100=""),OR(ISBLANK(I101),I101=""),OR(ISBLANK(I102),I102=""),OR(ISBLANK(I103),I103=""),OR(ISBLANK(I104),I104=""),OR(ISBLANK(I105),I105=""),OR(ISBLANK(I106),I106=""),OR(ISBLANK(I107),I107=""),OR(ISBLANK(I108),I108=""),OR(ISBLANK(I109),I109=""),OR(ISBLANK(I110),I110=""),OR(ISBLANK(I111),I111="")),"",SUM(I99,I100,I101,I102,I103,I104,I105,I106,I107,I108,I109,I110,I111))</f>
      </c>
      <c r="J114" s="25"/>
      <c r="K114" s="147"/>
      <c r="L114" s="24"/>
      <c r="M114" s="206"/>
      <c r="N114" s="147"/>
      <c r="O114" s="148"/>
      <c r="P114" s="179">
        <f>IF(NOT(NOT(I114="")),"Fail",IF(NOT(I114&gt;0),"Fail","Pass"))</f>
      </c>
      <c r="Q114" s="148"/>
      <c r="R114" s="149"/>
      <c r="S114" s="207">
        <f>IF(NOT(NOT(I114="")),"must be &gt; 0",IF(NOT(I114&gt;0),"must be &gt; 0",""))</f>
      </c>
      <c r="T114" s="149"/>
      <c r="U114" s="53"/>
      <c r="V114" s="150"/>
      <c r="W114" s="255"/>
      <c r="X114" s="150"/>
      <c r="Y114" s="22"/>
    </row>
    <row r="115" spans="1:25" ht="15" hidden="1">
      <c r="A115" s="22"/>
      <c r="B115" s="142"/>
      <c r="C115" s="226"/>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1"/>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hidden="1">
      <c r="A118" s="22"/>
      <c r="B118" s="142"/>
      <c r="C118" s="20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8.75">
      <c r="A119" s="22"/>
      <c r="B119" s="142"/>
      <c r="C119" s="203" t="s">
        <v>129</v>
      </c>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7.5" customHeight="1">
      <c r="A120" s="22"/>
      <c r="B120" s="142"/>
      <c r="C120" s="202"/>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15" hidden="1" thickBot="1">
      <c r="A121" s="22"/>
      <c r="B121" s="142"/>
      <c r="C121" s="204"/>
      <c r="D121" s="142"/>
      <c r="E121" s="144"/>
      <c r="F121" s="145"/>
      <c r="G121" s="144"/>
      <c r="H121" s="25"/>
      <c r="I121" s="177"/>
      <c r="J121" s="25"/>
      <c r="K121" s="147"/>
      <c r="L121" s="24"/>
      <c r="M121" s="145"/>
      <c r="N121" s="147"/>
      <c r="O121" s="148"/>
      <c r="P121" s="24"/>
      <c r="Q121" s="148"/>
      <c r="R121" s="149"/>
      <c r="S121" s="146"/>
      <c r="T121" s="149"/>
      <c r="U121" s="53"/>
      <c r="V121" s="150"/>
      <c r="W121" s="255"/>
      <c r="X121" s="150"/>
      <c r="Y121" s="22"/>
    </row>
    <row r="122" spans="1:25" ht="15">
      <c r="A122" s="22"/>
      <c r="B122" s="142"/>
      <c r="C122" s="205" t="s">
        <v>128</v>
      </c>
      <c r="D122" s="142"/>
      <c r="E122" s="144"/>
      <c r="F122" s="206" t="s">
        <v>66</v>
      </c>
      <c r="G122" s="144"/>
      <c r="H122" s="25"/>
      <c r="I122" s="258"/>
      <c r="J122" s="25"/>
      <c r="K122" s="147"/>
      <c r="L122" s="24"/>
      <c r="M122" s="206"/>
      <c r="N122" s="147"/>
      <c r="O122" s="148"/>
      <c r="P122" s="179">
        <f>IF(NOT(NOT(IF(ISERROR(I122),ERROR.TYPE(#REF!)=ERROR.TYPE(I122),FALSE))),"Fail",IF(NOT(NOT(ISBLANK(I122))),"Fail",IF(NOT(ISNUMBER(I122)),"Fail",IF(NOT(LEN(I122)-FIND(".",I122&amp;".")&lt;=0),"Fail","Pass"))))</f>
      </c>
      <c r="Q122" s="148"/>
      <c r="R122" s="149"/>
      <c r="S122" s="207">
        <f>IF(NOT(NOT(IF(ISERROR(I122),ERROR.TYPE(#REF!)=ERROR.TYPE(I122),FALSE))),"UNDO NOW (use button or Ctrl+Z)! CANNOT DRAG-AND-DROP CELLS",IF(NOT(NOT(ISBLANK(I122))),"input required",IF(NOT(ISNUMBER(I122)),"enter a number",IF(NOT(LEN(I122)-FIND(".",I122&amp;".")&lt;=0),"whole number only",""))))</f>
      </c>
      <c r="T122" s="149"/>
      <c r="U122" s="53"/>
      <c r="V122" s="150"/>
      <c r="W122" s="255"/>
      <c r="X122" s="150"/>
      <c r="Y122" s="22"/>
    </row>
    <row r="123" spans="1:25" ht="15">
      <c r="A123" s="22"/>
      <c r="B123" s="142"/>
      <c r="C123" s="205" t="s">
        <v>127</v>
      </c>
      <c r="D123" s="142"/>
      <c r="E123" s="144"/>
      <c r="F123" s="206" t="s">
        <v>66</v>
      </c>
      <c r="G123" s="144"/>
      <c r="H123" s="25"/>
      <c r="I123" s="260"/>
      <c r="J123" s="25"/>
      <c r="K123" s="147"/>
      <c r="L123" s="24"/>
      <c r="M123" s="206"/>
      <c r="N123" s="147"/>
      <c r="O123" s="148"/>
      <c r="P123" s="179">
        <f>IF(NOT(NOT(IF(ISERROR(I123),ERROR.TYPE(#REF!)=ERROR.TYPE(I123),FALSE))),"Fail",IF(NOT(NOT(ISBLANK(I123))),"Fail",IF(NOT(ISNUMBER(I123)),"Fail",IF(NOT(LEN(I123)-FIND(".",I123&amp;".")&lt;=0),"Fail","Pass"))))</f>
      </c>
      <c r="Q123" s="148"/>
      <c r="R123" s="149"/>
      <c r="S123" s="207">
        <f>IF(NOT(NOT(IF(ISERROR(I123),ERROR.TYPE(#REF!)=ERROR.TYPE(I123),FALSE))),"UNDO NOW (use button or Ctrl+Z)! CANNOT DRAG-AND-DROP CELLS",IF(NOT(NOT(ISBLANK(I123))),"input required",IF(NOT(ISNUMBER(I123)),"enter a number",IF(NOT(LEN(I123)-FIND(".",I123&amp;".")&lt;=0),"whole number only",""))))</f>
      </c>
      <c r="T123" s="149"/>
      <c r="U123" s="53"/>
      <c r="V123" s="150"/>
      <c r="W123" s="255"/>
      <c r="X123" s="150"/>
      <c r="Y123" s="22"/>
    </row>
    <row r="124" spans="1:25" ht="30">
      <c r="A124" s="22"/>
      <c r="B124" s="142"/>
      <c r="C124" s="205" t="s">
        <v>126</v>
      </c>
      <c r="D124" s="142"/>
      <c r="E124" s="144"/>
      <c r="F124" s="206" t="s">
        <v>66</v>
      </c>
      <c r="G124" s="144"/>
      <c r="H124" s="25"/>
      <c r="I124" s="260"/>
      <c r="J124" s="25"/>
      <c r="K124" s="147"/>
      <c r="L124" s="24"/>
      <c r="M124" s="206"/>
      <c r="N124" s="147"/>
      <c r="O124" s="148"/>
      <c r="P124" s="179">
        <f>IF(NOT(NOT(IF(ISERROR(I124),ERROR.TYPE(#REF!)=ERROR.TYPE(I124),FALSE))),"Fail",IF(NOT(NOT(ISBLANK(I124))),"Fail",IF(NOT(ISNUMBER(I124)),"Fail",IF(NOT(LEN(I124)-FIND(".",I124&amp;".")&lt;=0),"Fail","Pass"))))</f>
      </c>
      <c r="Q124" s="148"/>
      <c r="R124" s="149"/>
      <c r="S124" s="207">
        <f>IF(NOT(NOT(IF(ISERROR(I124),ERROR.TYPE(#REF!)=ERROR.TYPE(I124),FALSE))),"UNDO NOW (use button or Ctrl+Z)! CANNOT DRAG-AND-DROP CELLS",IF(NOT(NOT(ISBLANK(I124))),"input required",IF(NOT(ISNUMBER(I124)),"enter a number",IF(NOT(LEN(I124)-FIND(".",I124&amp;".")&lt;=0),"whole number only",""))))</f>
      </c>
      <c r="T124" s="149"/>
      <c r="U124" s="53"/>
      <c r="V124" s="150"/>
      <c r="W124" s="255"/>
      <c r="X124" s="150"/>
      <c r="Y124" s="22"/>
    </row>
    <row r="125" spans="1:25" ht="15">
      <c r="A125" s="22"/>
      <c r="B125" s="142"/>
      <c r="C125" s="205" t="s">
        <v>125</v>
      </c>
      <c r="D125" s="142"/>
      <c r="E125" s="144"/>
      <c r="F125" s="206" t="s">
        <v>66</v>
      </c>
      <c r="G125" s="144"/>
      <c r="H125" s="25"/>
      <c r="I125" s="260"/>
      <c r="J125" s="25"/>
      <c r="K125" s="147"/>
      <c r="L125" s="24"/>
      <c r="M125" s="206"/>
      <c r="N125" s="147"/>
      <c r="O125" s="148"/>
      <c r="P125" s="179">
        <f>IF(NOT(NOT(IF(ISERROR(I125),ERROR.TYPE(#REF!)=ERROR.TYPE(I125),FALSE))),"Fail",IF(NOT(NOT(ISBLANK(I125))),"Fail",IF(NOT(ISNUMBER(I125)),"Fail",IF(NOT(LEN(I125)-FIND(".",I125&amp;".")&lt;=0),"Fail","Pass"))))</f>
      </c>
      <c r="Q125" s="148"/>
      <c r="R125" s="149"/>
      <c r="S125" s="207">
        <f>IF(NOT(NOT(IF(ISERROR(I125),ERROR.TYPE(#REF!)=ERROR.TYPE(I125),FALSE))),"UNDO NOW (use button or Ctrl+Z)! CANNOT DRAG-AND-DROP CELLS",IF(NOT(NOT(ISBLANK(I125))),"input required",IF(NOT(ISNUMBER(I125)),"enter a number",IF(NOT(LEN(I125)-FIND(".",I125&amp;".")&lt;=0),"whole number only",""))))</f>
      </c>
      <c r="T125" s="149"/>
      <c r="U125" s="53"/>
      <c r="V125" s="150"/>
      <c r="W125" s="255"/>
      <c r="X125" s="150"/>
      <c r="Y125" s="22"/>
    </row>
    <row r="126" spans="1:25" ht="15" thickBot="1">
      <c r="A126" s="22"/>
      <c r="B126" s="142"/>
      <c r="C126" s="205" t="s">
        <v>124</v>
      </c>
      <c r="D126" s="142"/>
      <c r="E126" s="144"/>
      <c r="F126" s="206" t="s">
        <v>66</v>
      </c>
      <c r="G126" s="144"/>
      <c r="H126" s="25"/>
      <c r="I126" s="259"/>
      <c r="J126" s="25"/>
      <c r="K126" s="147"/>
      <c r="L126" s="24"/>
      <c r="M126" s="206"/>
      <c r="N126" s="147"/>
      <c r="O126" s="148"/>
      <c r="P126" s="179">
        <f>IF(NOT(NOT(IF(ISERROR(I126),ERROR.TYPE(#REF!)=ERROR.TYPE(I126),FALSE))),"Fail",IF(NOT(NOT(ISBLANK(I126))),"Fail",IF(NOT(ISNUMBER(I126)),"Fail",IF(NOT(LEN(I126)-FIND(".",I126&amp;".")&lt;=0),"Fail","Pass"))))</f>
      </c>
      <c r="Q126" s="148"/>
      <c r="R126" s="149"/>
      <c r="S126" s="207">
        <f>IF(NOT(NOT(IF(ISERROR(I126),ERROR.TYPE(#REF!)=ERROR.TYPE(I126),FALSE))),"UNDO NOW (use button or Ctrl+Z)! CANNOT DRAG-AND-DROP CELLS",IF(NOT(NOT(ISBLANK(I126))),"input required",IF(NOT(ISNUMBER(I126)),"enter a number",IF(NOT(LEN(I126)-FIND(".",I126&amp;".")&lt;=0),"whole number only",""))))</f>
      </c>
      <c r="T126" s="149"/>
      <c r="U126" s="53"/>
      <c r="V126" s="150"/>
      <c r="W126" s="255"/>
      <c r="X126" s="150"/>
      <c r="Y126" s="22"/>
    </row>
    <row r="127" spans="1:25" ht="15" hidden="1">
      <c r="A127" s="22"/>
      <c r="B127" s="142"/>
      <c r="C127" s="204"/>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thickBot="1">
      <c r="A128" s="22"/>
      <c r="B128" s="142"/>
      <c r="C128" s="226"/>
      <c r="D128" s="142"/>
      <c r="E128" s="144"/>
      <c r="F128" s="145"/>
      <c r="G128" s="144"/>
      <c r="H128" s="25"/>
      <c r="I128" s="177"/>
      <c r="J128" s="25"/>
      <c r="K128" s="147"/>
      <c r="L128" s="24"/>
      <c r="M128" s="145"/>
      <c r="N128" s="147"/>
      <c r="O128" s="148"/>
      <c r="P128" s="24"/>
      <c r="Q128" s="148"/>
      <c r="R128" s="149"/>
      <c r="S128" s="146"/>
      <c r="T128" s="149"/>
      <c r="U128" s="53"/>
      <c r="V128" s="150"/>
      <c r="W128" s="255"/>
      <c r="X128" s="150"/>
      <c r="Y128" s="22"/>
    </row>
    <row r="129" spans="1:25" ht="15" thickBot="1">
      <c r="A129" s="22"/>
      <c r="B129" s="142"/>
      <c r="C129" s="227" t="s">
        <v>123</v>
      </c>
      <c r="D129" s="142"/>
      <c r="E129" s="144"/>
      <c r="F129" s="206" t="s">
        <v>66</v>
      </c>
      <c r="G129" s="144"/>
      <c r="H129" s="25"/>
      <c r="I129" s="233">
        <f>IF(AND(OR(ISBLANK(I122),I122=""),OR(ISBLANK(I123),I123=""),OR(ISBLANK(I124),I124=""),OR(ISBLANK(I125),I125=""),OR(ISBLANK(I126),I126="")),"",SUM(I122,I123,I124,I125,I126))</f>
      </c>
      <c r="J129" s="25"/>
      <c r="K129" s="147"/>
      <c r="L129" s="24"/>
      <c r="M129" s="206"/>
      <c r="N129" s="147"/>
      <c r="O129" s="148"/>
      <c r="P129" s="179">
        <f>IF(NOT(NOT(I129="")),"Fail",IF(NOT(I129&gt;0),"Fail","Pass"))</f>
      </c>
      <c r="Q129" s="148"/>
      <c r="R129" s="149"/>
      <c r="S129" s="207">
        <f>IF(NOT(NOT(I129="")),"must be &gt; 0",IF(NOT(I129&gt;0),"must be &gt; 0",""))</f>
      </c>
      <c r="T129" s="149"/>
      <c r="U129" s="53"/>
      <c r="V129" s="150"/>
      <c r="W129" s="255"/>
      <c r="X129" s="150"/>
      <c r="Y129" s="22"/>
    </row>
    <row r="130" spans="1:25" ht="15" hidden="1">
      <c r="A130" s="22"/>
      <c r="B130" s="142"/>
      <c r="C130" s="226"/>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customHeight="1">
      <c r="A131" s="22"/>
      <c r="B131" s="142"/>
      <c r="C131" s="201"/>
      <c r="D131" s="142"/>
      <c r="E131" s="144"/>
      <c r="F131" s="145"/>
      <c r="G131" s="144"/>
      <c r="H131" s="25"/>
      <c r="I131" s="146"/>
      <c r="J131" s="25"/>
      <c r="K131" s="147"/>
      <c r="L131" s="24"/>
      <c r="M131" s="145"/>
      <c r="N131" s="147"/>
      <c r="O131" s="148"/>
      <c r="P131" s="24"/>
      <c r="Q131" s="148"/>
      <c r="R131" s="149"/>
      <c r="S131" s="146"/>
      <c r="T131" s="149"/>
      <c r="U131" s="53"/>
      <c r="V131" s="150"/>
      <c r="W131" s="255"/>
      <c r="X131" s="150"/>
      <c r="Y131" s="22"/>
    </row>
    <row r="132" spans="1:25" ht="15" hidden="1">
      <c r="A132" s="22"/>
      <c r="B132" s="142"/>
      <c r="C132" s="201"/>
      <c r="D132" s="142"/>
      <c r="E132" s="144"/>
      <c r="F132" s="145"/>
      <c r="G132" s="144"/>
      <c r="H132" s="25"/>
      <c r="I132" s="146"/>
      <c r="J132" s="25"/>
      <c r="K132" s="147"/>
      <c r="L132" s="24"/>
      <c r="M132" s="145"/>
      <c r="N132" s="147"/>
      <c r="O132" s="148"/>
      <c r="P132" s="24"/>
      <c r="Q132" s="148"/>
      <c r="R132" s="149"/>
      <c r="S132" s="146"/>
      <c r="T132" s="149"/>
      <c r="U132" s="53"/>
      <c r="V132" s="150"/>
      <c r="W132" s="255"/>
      <c r="X132" s="150"/>
      <c r="Y132" s="22"/>
    </row>
    <row r="133" spans="1:25" ht="15" hidden="1" thickBot="1">
      <c r="A133" s="22"/>
      <c r="B133" s="142"/>
      <c r="C133" s="226"/>
      <c r="D133" s="142"/>
      <c r="E133" s="144"/>
      <c r="F133" s="145"/>
      <c r="G133" s="144"/>
      <c r="H133" s="25"/>
      <c r="I133" s="177"/>
      <c r="J133" s="25"/>
      <c r="K133" s="147"/>
      <c r="L133" s="24"/>
      <c r="M133" s="145"/>
      <c r="N133" s="147"/>
      <c r="O133" s="148"/>
      <c r="P133" s="24"/>
      <c r="Q133" s="148"/>
      <c r="R133" s="149"/>
      <c r="S133" s="146"/>
      <c r="T133" s="149"/>
      <c r="U133" s="53"/>
      <c r="V133" s="150"/>
      <c r="W133" s="255"/>
      <c r="X133" s="150"/>
      <c r="Y133" s="22"/>
    </row>
    <row r="134" spans="1:25" ht="15" thickBot="1">
      <c r="A134" s="22"/>
      <c r="B134" s="142"/>
      <c r="C134" s="227" t="s">
        <v>122</v>
      </c>
      <c r="D134" s="142"/>
      <c r="E134" s="144"/>
      <c r="F134" s="206" t="s">
        <v>66</v>
      </c>
      <c r="G134" s="144"/>
      <c r="H134" s="25"/>
      <c r="I134" s="233">
        <f>IF(AND(OR(ISBLANK(I114),I114=""),OR(ISBLANK(I129),I129="")),"",SUM(I114,I129))</f>
      </c>
      <c r="J134" s="25"/>
      <c r="K134" s="147"/>
      <c r="L134" s="24"/>
      <c r="M134" s="206"/>
      <c r="N134" s="147"/>
      <c r="O134" s="148"/>
      <c r="P134" s="179">
        <f>IF(TRUE,"PassBecauseNoConstraints","ERROR")</f>
      </c>
      <c r="Q134" s="148"/>
      <c r="R134" s="149"/>
      <c r="S134" s="207">
        <f>IF(TRUE,"","ERROR")</f>
      </c>
      <c r="T134" s="149"/>
      <c r="U134" s="53"/>
      <c r="V134" s="150"/>
      <c r="W134" s="255"/>
      <c r="X134" s="150"/>
      <c r="Y134" s="22"/>
    </row>
    <row r="135" spans="1:25" ht="15" hidden="1">
      <c r="A135" s="22"/>
      <c r="B135" s="142"/>
      <c r="C135" s="226"/>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customHeight="1">
      <c r="A136" s="22"/>
      <c r="B136" s="142"/>
      <c r="C136" s="201"/>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5" hidden="1">
      <c r="A137" s="22"/>
      <c r="B137" s="142"/>
      <c r="C137" s="200"/>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15" customHeight="1">
      <c r="A138" s="22"/>
      <c r="B138" s="142"/>
      <c r="C138" s="19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c r="A139" s="22"/>
      <c r="B139" s="142"/>
      <c r="C139" s="192"/>
      <c r="D139" s="142"/>
      <c r="E139" s="144"/>
      <c r="F139" s="145"/>
      <c r="G139" s="144"/>
      <c r="H139" s="25"/>
      <c r="I139" s="146"/>
      <c r="J139" s="25"/>
      <c r="K139" s="147"/>
      <c r="L139" s="24"/>
      <c r="M139" s="145"/>
      <c r="N139" s="147"/>
      <c r="O139" s="148"/>
      <c r="P139" s="24"/>
      <c r="Q139" s="148"/>
      <c r="R139" s="149"/>
      <c r="S139" s="146"/>
      <c r="T139" s="149"/>
      <c r="U139" s="53"/>
      <c r="V139" s="150"/>
      <c r="W139" s="255"/>
      <c r="X139" s="150"/>
      <c r="Y139" s="22"/>
    </row>
    <row r="140" spans="1:25" ht="15" hidden="1">
      <c r="A140" s="22"/>
      <c r="B140" s="142"/>
      <c r="C140" s="193"/>
      <c r="D140" s="142"/>
      <c r="E140" s="144"/>
      <c r="F140" s="145"/>
      <c r="G140" s="144"/>
      <c r="H140" s="25"/>
      <c r="I140" s="146"/>
      <c r="J140" s="25"/>
      <c r="K140" s="147"/>
      <c r="L140" s="24"/>
      <c r="M140" s="145"/>
      <c r="N140" s="147"/>
      <c r="O140" s="148"/>
      <c r="P140" s="24"/>
      <c r="Q140" s="148"/>
      <c r="R140" s="149"/>
      <c r="S140" s="146"/>
      <c r="T140" s="149"/>
      <c r="U140" s="53"/>
      <c r="V140" s="150"/>
      <c r="W140" s="255"/>
      <c r="X140" s="150"/>
      <c r="Y140" s="22"/>
    </row>
    <row r="141" spans="1:25" ht="21">
      <c r="A141" s="22"/>
      <c r="B141" s="142"/>
      <c r="C141" s="166" t="s">
        <v>121</v>
      </c>
      <c r="D141" s="142"/>
      <c r="E141" s="144"/>
      <c r="F141" s="145"/>
      <c r="G141" s="144"/>
      <c r="H141" s="25"/>
      <c r="I141" s="146"/>
      <c r="J141" s="25"/>
      <c r="K141" s="147"/>
      <c r="L141" s="24"/>
      <c r="M141" s="145"/>
      <c r="N141" s="147"/>
      <c r="O141" s="148"/>
      <c r="P141" s="24"/>
      <c r="Q141" s="148"/>
      <c r="R141" s="149"/>
      <c r="S141" s="146"/>
      <c r="T141" s="149"/>
      <c r="U141" s="53"/>
      <c r="V141" s="150"/>
      <c r="W141" s="255"/>
      <c r="X141" s="150"/>
      <c r="Y141" s="22"/>
    </row>
    <row r="142" spans="1:25" ht="7.5" customHeight="1">
      <c r="A142" s="22"/>
      <c r="B142" s="142"/>
      <c r="C142" s="193"/>
      <c r="D142" s="142"/>
      <c r="E142" s="144"/>
      <c r="F142" s="145"/>
      <c r="G142" s="144"/>
      <c r="H142" s="25"/>
      <c r="I142" s="146"/>
      <c r="J142" s="25"/>
      <c r="K142" s="147"/>
      <c r="L142" s="24"/>
      <c r="M142" s="145"/>
      <c r="N142" s="147"/>
      <c r="O142" s="148"/>
      <c r="P142" s="24"/>
      <c r="Q142" s="148"/>
      <c r="R142" s="149"/>
      <c r="S142" s="146"/>
      <c r="T142" s="149"/>
      <c r="U142" s="53"/>
      <c r="V142" s="150"/>
      <c r="W142" s="255"/>
      <c r="X142" s="150"/>
      <c r="Y142" s="22"/>
    </row>
    <row r="143" spans="1:25" ht="15" hidden="1">
      <c r="A143" s="22"/>
      <c r="B143" s="142"/>
      <c r="C143" s="200"/>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c r="A144" s="22"/>
      <c r="B144" s="142"/>
      <c r="C144" s="201"/>
      <c r="D144" s="142"/>
      <c r="E144" s="144"/>
      <c r="F144" s="145"/>
      <c r="G144" s="144"/>
      <c r="H144" s="25"/>
      <c r="I144" s="146"/>
      <c r="J144" s="25"/>
      <c r="K144" s="147"/>
      <c r="L144" s="24"/>
      <c r="M144" s="145"/>
      <c r="N144" s="147"/>
      <c r="O144" s="148"/>
      <c r="P144" s="24"/>
      <c r="Q144" s="148"/>
      <c r="R144" s="149"/>
      <c r="S144" s="146"/>
      <c r="T144" s="149"/>
      <c r="U144" s="53"/>
      <c r="V144" s="150"/>
      <c r="W144" s="255"/>
      <c r="X144" s="150"/>
      <c r="Y144" s="22"/>
    </row>
    <row r="145" spans="1:25" ht="15" hidden="1" thickBot="1">
      <c r="A145" s="22"/>
      <c r="B145" s="142"/>
      <c r="C145" s="204"/>
      <c r="D145" s="142"/>
      <c r="E145" s="144"/>
      <c r="F145" s="145"/>
      <c r="G145" s="144"/>
      <c r="H145" s="25"/>
      <c r="I145" s="177"/>
      <c r="J145" s="25"/>
      <c r="K145" s="147"/>
      <c r="L145" s="24"/>
      <c r="M145" s="145"/>
      <c r="N145" s="147"/>
      <c r="O145" s="148"/>
      <c r="P145" s="24"/>
      <c r="Q145" s="148"/>
      <c r="R145" s="149"/>
      <c r="S145" s="146"/>
      <c r="T145" s="149"/>
      <c r="U145" s="53"/>
      <c r="V145" s="150"/>
      <c r="W145" s="255"/>
      <c r="X145" s="150"/>
      <c r="Y145" s="22"/>
    </row>
    <row r="146" spans="1:25" ht="15">
      <c r="A146" s="22"/>
      <c r="B146" s="142"/>
      <c r="C146" s="205" t="s">
        <v>120</v>
      </c>
      <c r="D146" s="142"/>
      <c r="E146" s="144"/>
      <c r="F146" s="206" t="s">
        <v>66</v>
      </c>
      <c r="G146" s="144"/>
      <c r="H146" s="25"/>
      <c r="I146" s="258"/>
      <c r="J146" s="25"/>
      <c r="K146" s="147"/>
      <c r="L146" s="24"/>
      <c r="M146" s="206"/>
      <c r="N146" s="147"/>
      <c r="O146" s="148"/>
      <c r="P146" s="179">
        <f>IF(NOT(NOT(IF(ISERROR(I146),ERROR.TYPE(#REF!)=ERROR.TYPE(I146),FALSE))),"Fail",IF(NOT(NOT(ISBLANK(I146))),"Fail",IF(NOT(ISNUMBER(I146)),"Fail",IF(NOT(LEN(I146)-FIND(".",I146&amp;".")&lt;=0),"Fail","Pass"))))</f>
      </c>
      <c r="Q146" s="148"/>
      <c r="R146" s="149"/>
      <c r="S146" s="207">
        <f>IF(NOT(NOT(IF(ISERROR(I146),ERROR.TYPE(#REF!)=ERROR.TYPE(I146),FALSE))),"UNDO NOW (use button or Ctrl+Z)! CANNOT DRAG-AND-DROP CELLS",IF(NOT(NOT(ISBLANK(I146))),"input required",IF(NOT(ISNUMBER(I146)),"enter a number",IF(NOT(LEN(I146)-FIND(".",I146&amp;".")&lt;=0),"whole number only",""))))</f>
      </c>
      <c r="T146" s="149"/>
      <c r="U146" s="53"/>
      <c r="V146" s="150"/>
      <c r="W146" s="255"/>
      <c r="X146" s="150"/>
      <c r="Y146" s="22"/>
    </row>
    <row r="147" spans="1:25" ht="15">
      <c r="A147" s="22"/>
      <c r="B147" s="142"/>
      <c r="C147" s="205" t="s">
        <v>119</v>
      </c>
      <c r="D147" s="142"/>
      <c r="E147" s="144"/>
      <c r="F147" s="206" t="s">
        <v>66</v>
      </c>
      <c r="G147" s="144"/>
      <c r="H147" s="25"/>
      <c r="I147" s="260"/>
      <c r="J147" s="25"/>
      <c r="K147" s="147"/>
      <c r="L147" s="24"/>
      <c r="M147" s="206"/>
      <c r="N147" s="147"/>
      <c r="O147" s="148"/>
      <c r="P147" s="179">
        <f>IF(NOT(NOT(IF(ISERROR(I147),ERROR.TYPE(#REF!)=ERROR.TYPE(I147),FALSE))),"Fail",IF(NOT(NOT(ISBLANK(I147))),"Fail",IF(NOT(ISNUMBER(I147)),"Fail",IF(NOT(LEN(I147)-FIND(".",I147&amp;".")&lt;=0),"Fail","Pass"))))</f>
      </c>
      <c r="Q147" s="148"/>
      <c r="R147" s="149"/>
      <c r="S147" s="207">
        <f>IF(NOT(NOT(IF(ISERROR(I147),ERROR.TYPE(#REF!)=ERROR.TYPE(I147),FALSE))),"UNDO NOW (use button or Ctrl+Z)! CANNOT DRAG-AND-DROP CELLS",IF(NOT(NOT(ISBLANK(I147))),"input required",IF(NOT(ISNUMBER(I147)),"enter a number",IF(NOT(LEN(I147)-FIND(".",I147&amp;".")&lt;=0),"whole number only",""))))</f>
      </c>
      <c r="T147" s="149"/>
      <c r="U147" s="53"/>
      <c r="V147" s="150"/>
      <c r="W147" s="255"/>
      <c r="X147" s="150"/>
      <c r="Y147" s="22"/>
    </row>
    <row r="148" spans="1:25" ht="15">
      <c r="A148" s="22"/>
      <c r="B148" s="142"/>
      <c r="C148" s="205" t="s">
        <v>118</v>
      </c>
      <c r="D148" s="142"/>
      <c r="E148" s="144"/>
      <c r="F148" s="206" t="s">
        <v>66</v>
      </c>
      <c r="G148" s="144"/>
      <c r="H148" s="25"/>
      <c r="I148" s="260"/>
      <c r="J148" s="25"/>
      <c r="K148" s="147"/>
      <c r="L148" s="24"/>
      <c r="M148" s="206"/>
      <c r="N148" s="147"/>
      <c r="O148" s="148"/>
      <c r="P148" s="179">
        <f>IF(NOT(NOT(IF(ISERROR(I148),ERROR.TYPE(#REF!)=ERROR.TYPE(I148),FALSE))),"Fail",IF(NOT(NOT(ISBLANK(I148))),"Fail",IF(NOT(ISNUMBER(I148)),"Fail",IF(NOT(LEN(I148)-FIND(".",I148&amp;".")&lt;=0),"Fail","Pass"))))</f>
      </c>
      <c r="Q148" s="148"/>
      <c r="R148" s="149"/>
      <c r="S148" s="207">
        <f>IF(NOT(NOT(IF(ISERROR(I148),ERROR.TYPE(#REF!)=ERROR.TYPE(I148),FALSE))),"UNDO NOW (use button or Ctrl+Z)! CANNOT DRAG-AND-DROP CELLS",IF(NOT(NOT(ISBLANK(I148))),"input required",IF(NOT(ISNUMBER(I148)),"enter a number",IF(NOT(LEN(I148)-FIND(".",I148&amp;".")&lt;=0),"whole number only",""))))</f>
      </c>
      <c r="T148" s="149"/>
      <c r="U148" s="53"/>
      <c r="V148" s="150"/>
      <c r="W148" s="255"/>
      <c r="X148" s="150"/>
      <c r="Y148" s="22"/>
    </row>
    <row r="149" spans="1:25" ht="30" thickBot="1">
      <c r="A149" s="22"/>
      <c r="B149" s="142"/>
      <c r="C149" s="205" t="s">
        <v>117</v>
      </c>
      <c r="D149" s="142"/>
      <c r="E149" s="144"/>
      <c r="F149" s="206" t="s">
        <v>66</v>
      </c>
      <c r="G149" s="144"/>
      <c r="H149" s="25"/>
      <c r="I149" s="259"/>
      <c r="J149" s="25"/>
      <c r="K149" s="147"/>
      <c r="L149" s="24"/>
      <c r="M149" s="206"/>
      <c r="N149" s="147"/>
      <c r="O149" s="148"/>
      <c r="P149" s="179">
        <f>IF(NOT(NOT(IF(ISERROR(I149),ERROR.TYPE(#REF!)=ERROR.TYPE(I149),FALSE))),"Fail",IF(NOT(NOT(ISBLANK(I149))),"Fail",IF(NOT(ISNUMBER(I149)),"Fail",IF(NOT(LEN(I149)-FIND(".",I149&amp;".")&lt;=0),"Fail","Pass"))))</f>
      </c>
      <c r="Q149" s="148"/>
      <c r="R149" s="149"/>
      <c r="S149" s="207">
        <f>IF(NOT(NOT(IF(ISERROR(I149),ERROR.TYPE(#REF!)=ERROR.TYPE(I149),FALSE))),"UNDO NOW (use button or Ctrl+Z)! CANNOT DRAG-AND-DROP CELLS",IF(NOT(NOT(ISBLANK(I149))),"input required",IF(NOT(ISNUMBER(I149)),"enter a number",IF(NOT(LEN(I149)-FIND(".",I149&amp;".")&lt;=0),"whole number only",""))))</f>
      </c>
      <c r="T149" s="149"/>
      <c r="U149" s="53"/>
      <c r="V149" s="150"/>
      <c r="W149" s="255"/>
      <c r="X149" s="150"/>
      <c r="Y149" s="22"/>
    </row>
    <row r="150" spans="1:25" ht="15" hidden="1">
      <c r="A150" s="22"/>
      <c r="B150" s="142"/>
      <c r="C150" s="204"/>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15" hidden="1" thickBot="1">
      <c r="A151" s="22"/>
      <c r="B151" s="142"/>
      <c r="C151" s="226"/>
      <c r="D151" s="142"/>
      <c r="E151" s="144"/>
      <c r="F151" s="145"/>
      <c r="G151" s="144"/>
      <c r="H151" s="25"/>
      <c r="I151" s="177"/>
      <c r="J151" s="25"/>
      <c r="K151" s="147"/>
      <c r="L151" s="24"/>
      <c r="M151" s="145"/>
      <c r="N151" s="147"/>
      <c r="O151" s="148"/>
      <c r="P151" s="24"/>
      <c r="Q151" s="148"/>
      <c r="R151" s="149"/>
      <c r="S151" s="146"/>
      <c r="T151" s="149"/>
      <c r="U151" s="53"/>
      <c r="V151" s="150"/>
      <c r="W151" s="255"/>
      <c r="X151" s="150"/>
      <c r="Y151" s="22"/>
    </row>
    <row r="152" spans="1:25" ht="15" thickBot="1">
      <c r="A152" s="22"/>
      <c r="B152" s="142"/>
      <c r="C152" s="227" t="s">
        <v>116</v>
      </c>
      <c r="D152" s="142"/>
      <c r="E152" s="144"/>
      <c r="F152" s="206" t="s">
        <v>66</v>
      </c>
      <c r="G152" s="144"/>
      <c r="H152" s="25"/>
      <c r="I152" s="233">
        <f>IF(AND(OR(ISBLANK(I146),I146=""),OR(ISBLANK(I147),I147=""),OR(ISBLANK(I148),I148=""),OR(ISBLANK(I149),I149="")),"",SUM(I146,I147,I148,I149))</f>
      </c>
      <c r="J152" s="25"/>
      <c r="K152" s="147"/>
      <c r="L152" s="24"/>
      <c r="M152" s="206"/>
      <c r="N152" s="147"/>
      <c r="O152" s="148"/>
      <c r="P152" s="179">
        <f>IF(NOT(NOT(I152="")),"Fail",IF(NOT(I152&gt;0),"Fail","Pass"))</f>
      </c>
      <c r="Q152" s="148"/>
      <c r="R152" s="149"/>
      <c r="S152" s="207">
        <f>IF(NOT(NOT(I152="")),"must be &gt; 0",IF(NOT(I152&gt;0),"must be &gt; 0",""))</f>
      </c>
      <c r="T152" s="149"/>
      <c r="U152" s="53"/>
      <c r="V152" s="150"/>
      <c r="W152" s="255"/>
      <c r="X152" s="150"/>
      <c r="Y152" s="22"/>
    </row>
    <row r="153" spans="1:25" ht="15" hidden="1">
      <c r="A153" s="22"/>
      <c r="B153" s="142"/>
      <c r="C153" s="226"/>
      <c r="D153" s="142"/>
      <c r="E153" s="144"/>
      <c r="F153" s="145"/>
      <c r="G153" s="144"/>
      <c r="H153" s="25"/>
      <c r="I153" s="146"/>
      <c r="J153" s="25"/>
      <c r="K153" s="147"/>
      <c r="L153" s="24"/>
      <c r="M153" s="145"/>
      <c r="N153" s="147"/>
      <c r="O153" s="148"/>
      <c r="P153" s="24"/>
      <c r="Q153" s="148"/>
      <c r="R153" s="149"/>
      <c r="S153" s="146"/>
      <c r="T153" s="149"/>
      <c r="U153" s="53"/>
      <c r="V153" s="150"/>
      <c r="W153" s="255"/>
      <c r="X153" s="150"/>
      <c r="Y153" s="22"/>
    </row>
    <row r="154" spans="1:25" ht="15" customHeight="1">
      <c r="A154" s="22"/>
      <c r="B154" s="142"/>
      <c r="C154" s="201"/>
      <c r="D154" s="142"/>
      <c r="E154" s="144"/>
      <c r="F154" s="145"/>
      <c r="G154" s="144"/>
      <c r="H154" s="25"/>
      <c r="I154" s="146"/>
      <c r="J154" s="25"/>
      <c r="K154" s="147"/>
      <c r="L154" s="24"/>
      <c r="M154" s="145"/>
      <c r="N154" s="147"/>
      <c r="O154" s="148"/>
      <c r="P154" s="24"/>
      <c r="Q154" s="148"/>
      <c r="R154" s="149"/>
      <c r="S154" s="146"/>
      <c r="T154" s="149"/>
      <c r="U154" s="53"/>
      <c r="V154" s="150"/>
      <c r="W154" s="255"/>
      <c r="X154" s="150"/>
      <c r="Y154" s="22"/>
    </row>
    <row r="155" spans="1:25" ht="15" hidden="1">
      <c r="A155" s="22"/>
      <c r="B155" s="142"/>
      <c r="C155" s="200"/>
      <c r="D155" s="142"/>
      <c r="E155" s="144"/>
      <c r="F155" s="145"/>
      <c r="G155" s="144"/>
      <c r="H155" s="25"/>
      <c r="I155" s="146"/>
      <c r="J155" s="25"/>
      <c r="K155" s="147"/>
      <c r="L155" s="24"/>
      <c r="M155" s="145"/>
      <c r="N155" s="147"/>
      <c r="O155" s="148"/>
      <c r="P155" s="24"/>
      <c r="Q155" s="148"/>
      <c r="R155" s="149"/>
      <c r="S155" s="146"/>
      <c r="T155" s="149"/>
      <c r="U155" s="53"/>
      <c r="V155" s="150"/>
      <c r="W155" s="255"/>
      <c r="X155" s="150"/>
      <c r="Y155" s="22"/>
    </row>
    <row r="156" spans="1:25" ht="15" customHeight="1">
      <c r="A156" s="22"/>
      <c r="B156" s="142"/>
      <c r="C156" s="192"/>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c r="A157" s="22"/>
      <c r="B157" s="142"/>
      <c r="C157" s="192"/>
      <c r="D157" s="142"/>
      <c r="E157" s="144"/>
      <c r="F157" s="145"/>
      <c r="G157" s="144"/>
      <c r="H157" s="25"/>
      <c r="I157" s="146"/>
      <c r="J157" s="25"/>
      <c r="K157" s="147"/>
      <c r="L157" s="24"/>
      <c r="M157" s="145"/>
      <c r="N157" s="147"/>
      <c r="O157" s="148"/>
      <c r="P157" s="24"/>
      <c r="Q157" s="148"/>
      <c r="R157" s="149"/>
      <c r="S157" s="146"/>
      <c r="T157" s="149"/>
      <c r="U157" s="53"/>
      <c r="V157" s="150"/>
      <c r="W157" s="255"/>
      <c r="X157" s="150"/>
      <c r="Y157" s="22"/>
    </row>
    <row r="158" spans="1:25" ht="15" hidden="1">
      <c r="A158" s="22"/>
      <c r="B158" s="142"/>
      <c r="C158" s="193"/>
      <c r="D158" s="142"/>
      <c r="E158" s="144"/>
      <c r="F158" s="145"/>
      <c r="G158" s="144"/>
      <c r="H158" s="25"/>
      <c r="I158" s="146"/>
      <c r="J158" s="25"/>
      <c r="K158" s="147"/>
      <c r="L158" s="24"/>
      <c r="M158" s="145"/>
      <c r="N158" s="147"/>
      <c r="O158" s="148"/>
      <c r="P158" s="24"/>
      <c r="Q158" s="148"/>
      <c r="R158" s="149"/>
      <c r="S158" s="146"/>
      <c r="T158" s="149"/>
      <c r="U158" s="53"/>
      <c r="V158" s="150"/>
      <c r="W158" s="255"/>
      <c r="X158" s="150"/>
      <c r="Y158" s="22"/>
    </row>
    <row r="159" spans="1:25" ht="21">
      <c r="A159" s="22"/>
      <c r="B159" s="142"/>
      <c r="C159" s="166" t="s">
        <v>115</v>
      </c>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7.5" customHeight="1">
      <c r="A160" s="22"/>
      <c r="B160" s="142"/>
      <c r="C160" s="193"/>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0"/>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1"/>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5" hidden="1" thickBot="1">
      <c r="A163" s="22"/>
      <c r="B163" s="142"/>
      <c r="C163" s="204"/>
      <c r="D163" s="142"/>
      <c r="E163" s="144"/>
      <c r="F163" s="145"/>
      <c r="G163" s="144"/>
      <c r="H163" s="25"/>
      <c r="I163" s="177"/>
      <c r="J163" s="25"/>
      <c r="K163" s="147"/>
      <c r="L163" s="24"/>
      <c r="M163" s="145"/>
      <c r="N163" s="147"/>
      <c r="O163" s="148"/>
      <c r="P163" s="24"/>
      <c r="Q163" s="148"/>
      <c r="R163" s="149"/>
      <c r="S163" s="146"/>
      <c r="T163" s="149"/>
      <c r="U163" s="53"/>
      <c r="V163" s="150"/>
      <c r="W163" s="255"/>
      <c r="X163" s="150"/>
      <c r="Y163" s="22"/>
    </row>
    <row r="164" spans="1:25" ht="15">
      <c r="A164" s="22"/>
      <c r="B164" s="142"/>
      <c r="C164" s="205" t="s">
        <v>114</v>
      </c>
      <c r="D164" s="142"/>
      <c r="E164" s="144"/>
      <c r="F164" s="206" t="s">
        <v>66</v>
      </c>
      <c r="G164" s="144"/>
      <c r="H164" s="25"/>
      <c r="I164" s="258"/>
      <c r="J164" s="25"/>
      <c r="K164" s="147"/>
      <c r="L164" s="24"/>
      <c r="M164" s="206"/>
      <c r="N164" s="147"/>
      <c r="O164" s="148"/>
      <c r="P164" s="179">
        <f>IF(NOT(NOT(IF(ISERROR(I164),ERROR.TYPE(#REF!)=ERROR.TYPE(I164),FALSE))),"Fail",IF(NOT(NOT(ISBLANK(I164))),"Fail",IF(NOT(ISNUMBER(I164)),"Fail",IF(NOT(LEN(I164)-FIND(".",I164&amp;".")&lt;=0),"Fail","Pass"))))</f>
      </c>
      <c r="Q164" s="148"/>
      <c r="R164" s="149"/>
      <c r="S164" s="207">
        <f>IF(NOT(NOT(IF(ISERROR(I164),ERROR.TYPE(#REF!)=ERROR.TYPE(I164),FALSE))),"UNDO NOW (use button or Ctrl+Z)! CANNOT DRAG-AND-DROP CELLS",IF(NOT(NOT(ISBLANK(I164))),"input required",IF(NOT(ISNUMBER(I164)),"enter a number",IF(NOT(LEN(I164)-FIND(".",I164&amp;".")&lt;=0),"whole number only",""))))</f>
      </c>
      <c r="T164" s="149"/>
      <c r="U164" s="53"/>
      <c r="V164" s="150"/>
      <c r="W164" s="255"/>
      <c r="X164" s="150"/>
      <c r="Y164" s="22"/>
    </row>
    <row r="165" spans="1:25" ht="15">
      <c r="A165" s="22"/>
      <c r="B165" s="142"/>
      <c r="C165" s="205" t="s">
        <v>113</v>
      </c>
      <c r="D165" s="142"/>
      <c r="E165" s="144"/>
      <c r="F165" s="206" t="s">
        <v>66</v>
      </c>
      <c r="G165" s="144"/>
      <c r="H165" s="25"/>
      <c r="I165" s="260"/>
      <c r="J165" s="25"/>
      <c r="K165" s="147"/>
      <c r="L165" s="24"/>
      <c r="M165" s="206"/>
      <c r="N165" s="147"/>
      <c r="O165" s="148"/>
      <c r="P165" s="179">
        <f>IF(NOT(NOT(IF(ISERROR(I165),ERROR.TYPE(#REF!)=ERROR.TYPE(I165),FALSE))),"Fail",IF(NOT(NOT(ISBLANK(I165))),"Fail",IF(NOT(ISNUMBER(I165)),"Fail",IF(NOT(LEN(I165)-FIND(".",I165&amp;".")&lt;=0),"Fail","Pass"))))</f>
      </c>
      <c r="Q165" s="148"/>
      <c r="R165" s="149"/>
      <c r="S165" s="207">
        <f>IF(NOT(NOT(IF(ISERROR(I165),ERROR.TYPE(#REF!)=ERROR.TYPE(I165),FALSE))),"UNDO NOW (use button or Ctrl+Z)! CANNOT DRAG-AND-DROP CELLS",IF(NOT(NOT(ISBLANK(I165))),"input required",IF(NOT(ISNUMBER(I165)),"enter a number",IF(NOT(LEN(I165)-FIND(".",I165&amp;".")&lt;=0),"whole number only",""))))</f>
      </c>
      <c r="T165" s="149"/>
      <c r="U165" s="53"/>
      <c r="V165" s="150"/>
      <c r="W165" s="255"/>
      <c r="X165" s="150"/>
      <c r="Y165" s="22"/>
    </row>
    <row r="166" spans="1:25" ht="15">
      <c r="A166" s="22"/>
      <c r="B166" s="142"/>
      <c r="C166" s="205" t="s">
        <v>112</v>
      </c>
      <c r="D166" s="142"/>
      <c r="E166" s="144"/>
      <c r="F166" s="206" t="s">
        <v>66</v>
      </c>
      <c r="G166" s="144"/>
      <c r="H166" s="25"/>
      <c r="I166" s="260"/>
      <c r="J166" s="25"/>
      <c r="K166" s="147"/>
      <c r="L166" s="24"/>
      <c r="M166" s="206"/>
      <c r="N166" s="147"/>
      <c r="O166" s="148"/>
      <c r="P166" s="179">
        <f>IF(NOT(NOT(IF(ISERROR(I166),ERROR.TYPE(#REF!)=ERROR.TYPE(I166),FALSE))),"Fail",IF(NOT(NOT(ISBLANK(I166))),"Fail",IF(NOT(ISNUMBER(I166)),"Fail",IF(NOT(LEN(I166)-FIND(".",I166&amp;".")&lt;=0),"Fail","Pass"))))</f>
      </c>
      <c r="Q166" s="148"/>
      <c r="R166" s="149"/>
      <c r="S166" s="207">
        <f>IF(NOT(NOT(IF(ISERROR(I166),ERROR.TYPE(#REF!)=ERROR.TYPE(I166),FALSE))),"UNDO NOW (use button or Ctrl+Z)! CANNOT DRAG-AND-DROP CELLS",IF(NOT(NOT(ISBLANK(I166))),"input required",IF(NOT(ISNUMBER(I166)),"enter a number",IF(NOT(LEN(I166)-FIND(".",I166&amp;".")&lt;=0),"whole number only",""))))</f>
      </c>
      <c r="T166" s="149"/>
      <c r="U166" s="53"/>
      <c r="V166" s="150"/>
      <c r="W166" s="255"/>
      <c r="X166" s="150"/>
      <c r="Y166" s="22"/>
    </row>
    <row r="167" spans="1:25" ht="30">
      <c r="A167" s="22"/>
      <c r="B167" s="142"/>
      <c r="C167" s="205" t="s">
        <v>111</v>
      </c>
      <c r="D167" s="142"/>
      <c r="E167" s="144"/>
      <c r="F167" s="206" t="s">
        <v>66</v>
      </c>
      <c r="G167" s="144"/>
      <c r="H167" s="25"/>
      <c r="I167" s="260"/>
      <c r="J167" s="25"/>
      <c r="K167" s="147"/>
      <c r="L167" s="24"/>
      <c r="M167" s="206"/>
      <c r="N167" s="147"/>
      <c r="O167" s="148"/>
      <c r="P167" s="179">
        <f>IF(NOT(NOT(IF(ISERROR(I167),ERROR.TYPE(#REF!)=ERROR.TYPE(I167),FALSE))),"Fail",IF(NOT(NOT(ISBLANK(I167))),"Fail",IF(NOT(ISNUMBER(I167)),"Fail",IF(NOT(LEN(I167)-FIND(".",I167&amp;".")&lt;=0),"Fail","Pass"))))</f>
      </c>
      <c r="Q167" s="148"/>
      <c r="R167" s="149"/>
      <c r="S167" s="207">
        <f>IF(NOT(NOT(IF(ISERROR(I167),ERROR.TYPE(#REF!)=ERROR.TYPE(I167),FALSE))),"UNDO NOW (use button or Ctrl+Z)! CANNOT DRAG-AND-DROP CELLS",IF(NOT(NOT(ISBLANK(I167))),"input required",IF(NOT(ISNUMBER(I167)),"enter a number",IF(NOT(LEN(I167)-FIND(".",I167&amp;".")&lt;=0),"whole number only",""))))</f>
      </c>
      <c r="T167" s="149"/>
      <c r="U167" s="53"/>
      <c r="V167" s="150"/>
      <c r="W167" s="255"/>
      <c r="X167" s="150"/>
      <c r="Y167" s="22"/>
    </row>
    <row r="168" spans="1:25" ht="15">
      <c r="A168" s="22"/>
      <c r="B168" s="142"/>
      <c r="C168" s="205" t="s">
        <v>110</v>
      </c>
      <c r="D168" s="142"/>
      <c r="E168" s="144"/>
      <c r="F168" s="206" t="s">
        <v>66</v>
      </c>
      <c r="G168" s="144"/>
      <c r="H168" s="25"/>
      <c r="I168" s="260"/>
      <c r="J168" s="25"/>
      <c r="K168" s="147"/>
      <c r="L168" s="24"/>
      <c r="M168" s="206"/>
      <c r="N168" s="147"/>
      <c r="O168" s="148"/>
      <c r="P168" s="179">
        <f>IF(NOT(NOT(IF(ISERROR(I168),ERROR.TYPE(#REF!)=ERROR.TYPE(I168),FALSE))),"Fail",IF(NOT(NOT(ISBLANK(I168))),"Fail",IF(NOT(ISNUMBER(I168)),"Fail",IF(NOT(LEN(I168)-FIND(".",I168&amp;".")&lt;=0),"Fail","Pass"))))</f>
      </c>
      <c r="Q168" s="148"/>
      <c r="R168" s="149"/>
      <c r="S168" s="207">
        <f>IF(NOT(NOT(IF(ISERROR(I168),ERROR.TYPE(#REF!)=ERROR.TYPE(I168),FALSE))),"UNDO NOW (use button or Ctrl+Z)! CANNOT DRAG-AND-DROP CELLS",IF(NOT(NOT(ISBLANK(I168))),"input required",IF(NOT(ISNUMBER(I168)),"enter a number",IF(NOT(LEN(I168)-FIND(".",I168&amp;".")&lt;=0),"whole number only",""))))</f>
      </c>
      <c r="T168" s="149"/>
      <c r="U168" s="53"/>
      <c r="V168" s="150"/>
      <c r="W168" s="255"/>
      <c r="X168" s="150"/>
      <c r="Y168" s="22"/>
    </row>
    <row r="169" spans="1:25" ht="15">
      <c r="A169" s="22"/>
      <c r="B169" s="142"/>
      <c r="C169" s="205" t="s">
        <v>109</v>
      </c>
      <c r="D169" s="142"/>
      <c r="E169" s="144"/>
      <c r="F169" s="206" t="s">
        <v>66</v>
      </c>
      <c r="G169" s="144"/>
      <c r="H169" s="25"/>
      <c r="I169" s="260"/>
      <c r="J169" s="25"/>
      <c r="K169" s="147"/>
      <c r="L169" s="24"/>
      <c r="M169" s="206"/>
      <c r="N169" s="147"/>
      <c r="O169" s="148"/>
      <c r="P169" s="179">
        <f>IF(NOT(NOT(IF(ISERROR(I169),ERROR.TYPE(#REF!)=ERROR.TYPE(I169),FALSE))),"Fail",IF(NOT(NOT(ISBLANK(I169))),"Fail",IF(NOT(ISNUMBER(I169)),"Fail",IF(NOT(LEN(I169)-FIND(".",I169&amp;".")&lt;=0),"Fail","Pass"))))</f>
      </c>
      <c r="Q169" s="148"/>
      <c r="R169" s="149"/>
      <c r="S169" s="207">
        <f>IF(NOT(NOT(IF(ISERROR(I169),ERROR.TYPE(#REF!)=ERROR.TYPE(I169),FALSE))),"UNDO NOW (use button or Ctrl+Z)! CANNOT DRAG-AND-DROP CELLS",IF(NOT(NOT(ISBLANK(I169))),"input required",IF(NOT(ISNUMBER(I169)),"enter a number",IF(NOT(LEN(I169)-FIND(".",I169&amp;".")&lt;=0),"whole number only",""))))</f>
      </c>
      <c r="T169" s="149"/>
      <c r="U169" s="53"/>
      <c r="V169" s="150"/>
      <c r="W169" s="255"/>
      <c r="X169" s="150"/>
      <c r="Y169" s="22"/>
    </row>
    <row r="170" spans="1:25" ht="15">
      <c r="A170" s="22"/>
      <c r="B170" s="142"/>
      <c r="C170" s="205" t="s">
        <v>108</v>
      </c>
      <c r="D170" s="142"/>
      <c r="E170" s="144"/>
      <c r="F170" s="206" t="s">
        <v>66</v>
      </c>
      <c r="G170" s="144"/>
      <c r="H170" s="25"/>
      <c r="I170" s="260"/>
      <c r="J170" s="25"/>
      <c r="K170" s="147"/>
      <c r="L170" s="24"/>
      <c r="M170" s="206"/>
      <c r="N170" s="147"/>
      <c r="O170" s="148"/>
      <c r="P170" s="179">
        <f>IF(NOT(NOT(IF(ISERROR(I170),ERROR.TYPE(#REF!)=ERROR.TYPE(I170),FALSE))),"Fail",IF(NOT(NOT(ISBLANK(I170))),"Fail",IF(NOT(ISNUMBER(I170)),"Fail",IF(NOT(LEN(I170)-FIND(".",I170&amp;".")&lt;=0),"Fail","Pass"))))</f>
      </c>
      <c r="Q170" s="148"/>
      <c r="R170" s="149"/>
      <c r="S170" s="207">
        <f>IF(NOT(NOT(IF(ISERROR(I170),ERROR.TYPE(#REF!)=ERROR.TYPE(I170),FALSE))),"UNDO NOW (use button or Ctrl+Z)! CANNOT DRAG-AND-DROP CELLS",IF(NOT(NOT(ISBLANK(I170))),"input required",IF(NOT(ISNUMBER(I170)),"enter a number",IF(NOT(LEN(I170)-FIND(".",I170&amp;".")&lt;=0),"whole number only",""))))</f>
      </c>
      <c r="T170" s="149"/>
      <c r="U170" s="53"/>
      <c r="V170" s="150"/>
      <c r="W170" s="255"/>
      <c r="X170" s="150"/>
      <c r="Y170" s="22"/>
    </row>
    <row r="171" spans="1:25" ht="15">
      <c r="A171" s="22"/>
      <c r="B171" s="142"/>
      <c r="C171" s="205" t="s">
        <v>107</v>
      </c>
      <c r="D171" s="142"/>
      <c r="E171" s="144"/>
      <c r="F171" s="206" t="s">
        <v>66</v>
      </c>
      <c r="G171" s="144"/>
      <c r="H171" s="25"/>
      <c r="I171" s="260"/>
      <c r="J171" s="25"/>
      <c r="K171" s="147"/>
      <c r="L171" s="24"/>
      <c r="M171" s="206"/>
      <c r="N171" s="147"/>
      <c r="O171" s="148"/>
      <c r="P171" s="179">
        <f>IF(NOT(NOT(IF(ISERROR(I171),ERROR.TYPE(#REF!)=ERROR.TYPE(I171),FALSE))),"Fail",IF(NOT(NOT(ISBLANK(I171))),"Fail",IF(NOT(ISNUMBER(I171)),"Fail",IF(NOT(LEN(I171)-FIND(".",I171&amp;".")&lt;=0),"Fail","Pass"))))</f>
      </c>
      <c r="Q171" s="148"/>
      <c r="R171" s="149"/>
      <c r="S171" s="207">
        <f>IF(NOT(NOT(IF(ISERROR(I171),ERROR.TYPE(#REF!)=ERROR.TYPE(I171),FALSE))),"UNDO NOW (use button or Ctrl+Z)! CANNOT DRAG-AND-DROP CELLS",IF(NOT(NOT(ISBLANK(I171))),"input required",IF(NOT(ISNUMBER(I171)),"enter a number",IF(NOT(LEN(I171)-FIND(".",I171&amp;".")&lt;=0),"whole number only",""))))</f>
      </c>
      <c r="T171" s="149"/>
      <c r="U171" s="53"/>
      <c r="V171" s="150"/>
      <c r="W171" s="255"/>
      <c r="X171" s="150"/>
      <c r="Y171" s="22"/>
    </row>
    <row r="172" spans="1:25" ht="15">
      <c r="A172" s="22"/>
      <c r="B172" s="142"/>
      <c r="C172" s="205" t="s">
        <v>106</v>
      </c>
      <c r="D172" s="142"/>
      <c r="E172" s="144"/>
      <c r="F172" s="206" t="s">
        <v>66</v>
      </c>
      <c r="G172" s="144"/>
      <c r="H172" s="25"/>
      <c r="I172" s="260"/>
      <c r="J172" s="25"/>
      <c r="K172" s="147"/>
      <c r="L172" s="24"/>
      <c r="M172" s="206"/>
      <c r="N172" s="147"/>
      <c r="O172" s="148"/>
      <c r="P172" s="179">
        <f>IF(NOT(NOT(IF(ISERROR(I172),ERROR.TYPE(#REF!)=ERROR.TYPE(I172),FALSE))),"Fail",IF(NOT(NOT(ISBLANK(I172))),"Fail",IF(NOT(ISNUMBER(I172)),"Fail",IF(NOT(LEN(I172)-FIND(".",I172&amp;".")&lt;=0),"Fail","Pass"))))</f>
      </c>
      <c r="Q172" s="148"/>
      <c r="R172" s="149"/>
      <c r="S172" s="207">
        <f>IF(NOT(NOT(IF(ISERROR(I172),ERROR.TYPE(#REF!)=ERROR.TYPE(I172),FALSE))),"UNDO NOW (use button or Ctrl+Z)! CANNOT DRAG-AND-DROP CELLS",IF(NOT(NOT(ISBLANK(I172))),"input required",IF(NOT(ISNUMBER(I172)),"enter a number",IF(NOT(LEN(I172)-FIND(".",I172&amp;".")&lt;=0),"whole number only",""))))</f>
      </c>
      <c r="T172" s="149"/>
      <c r="U172" s="53"/>
      <c r="V172" s="150"/>
      <c r="W172" s="255"/>
      <c r="X172" s="150"/>
      <c r="Y172" s="22"/>
    </row>
    <row r="173" spans="1:25" ht="15" thickBot="1">
      <c r="A173" s="22"/>
      <c r="B173" s="142"/>
      <c r="C173" s="205" t="s">
        <v>105</v>
      </c>
      <c r="D173" s="142"/>
      <c r="E173" s="144"/>
      <c r="F173" s="206" t="s">
        <v>66</v>
      </c>
      <c r="G173" s="144"/>
      <c r="H173" s="25"/>
      <c r="I173" s="259"/>
      <c r="J173" s="25"/>
      <c r="K173" s="147"/>
      <c r="L173" s="24"/>
      <c r="M173" s="206"/>
      <c r="N173" s="147"/>
      <c r="O173" s="148"/>
      <c r="P173" s="179">
        <f>IF(NOT(NOT(IF(ISERROR(I173),ERROR.TYPE(#REF!)=ERROR.TYPE(I173),FALSE))),"Fail",IF(NOT(NOT(ISBLANK(I173))),"Fail",IF(NOT(ISNUMBER(I173)),"Fail",IF(NOT(LEN(I173)-FIND(".",I173&amp;".")&lt;=0),"Fail","Pass"))))</f>
      </c>
      <c r="Q173" s="148"/>
      <c r="R173" s="149"/>
      <c r="S173" s="207">
        <f>IF(NOT(NOT(IF(ISERROR(I173),ERROR.TYPE(#REF!)=ERROR.TYPE(I173),FALSE))),"UNDO NOW (use button or Ctrl+Z)! CANNOT DRAG-AND-DROP CELLS",IF(NOT(NOT(ISBLANK(I173))),"input required",IF(NOT(ISNUMBER(I173)),"enter a number",IF(NOT(LEN(I173)-FIND(".",I173&amp;".")&lt;=0),"whole number only",""))))</f>
      </c>
      <c r="T173" s="149"/>
      <c r="U173" s="53"/>
      <c r="V173" s="150"/>
      <c r="W173" s="255"/>
      <c r="X173" s="150"/>
      <c r="Y173" s="22"/>
    </row>
    <row r="174" spans="1:25" ht="15" hidden="1">
      <c r="A174" s="22"/>
      <c r="B174" s="142"/>
      <c r="C174" s="204"/>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customHeight="1">
      <c r="A175" s="22"/>
      <c r="B175" s="142"/>
      <c r="C175" s="201"/>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5" hidden="1">
      <c r="A176" s="22"/>
      <c r="B176" s="142"/>
      <c r="C176" s="201"/>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15" hidden="1" thickBot="1">
      <c r="A177" s="22"/>
      <c r="B177" s="142"/>
      <c r="C177" s="226"/>
      <c r="D177" s="142"/>
      <c r="E177" s="144"/>
      <c r="F177" s="145"/>
      <c r="G177" s="144"/>
      <c r="H177" s="25"/>
      <c r="I177" s="177"/>
      <c r="J177" s="25"/>
      <c r="K177" s="147"/>
      <c r="L177" s="24"/>
      <c r="M177" s="145"/>
      <c r="N177" s="147"/>
      <c r="O177" s="148"/>
      <c r="P177" s="24"/>
      <c r="Q177" s="148"/>
      <c r="R177" s="149"/>
      <c r="S177" s="146"/>
      <c r="T177" s="149"/>
      <c r="U177" s="53"/>
      <c r="V177" s="150"/>
      <c r="W177" s="255"/>
      <c r="X177" s="150"/>
      <c r="Y177" s="22"/>
    </row>
    <row r="178" spans="1:25" ht="15" thickBot="1">
      <c r="A178" s="22"/>
      <c r="B178" s="142"/>
      <c r="C178" s="227" t="s">
        <v>104</v>
      </c>
      <c r="D178" s="142"/>
      <c r="E178" s="144"/>
      <c r="F178" s="206" t="s">
        <v>66</v>
      </c>
      <c r="G178" s="144"/>
      <c r="H178" s="25"/>
      <c r="I178" s="233">
        <f>IF(AND(OR(ISBLANK(I164),I164=""),OR(ISBLANK(I165),I165=""),OR(ISBLANK(I166),I166=""),OR(ISBLANK(I167),I167=""),OR(ISBLANK(I168),I168=""),OR(ISBLANK(I169),I169=""),OR(ISBLANK(I170),I170=""),OR(ISBLANK(I171),I171=""),OR(ISBLANK(I172),I172=""),OR(ISBLANK(I173),I173="")),"",SUM(I164,I165,I166,I167,I168,I169,I170,I171,I172,I173))</f>
      </c>
      <c r="J178" s="25"/>
      <c r="K178" s="147"/>
      <c r="L178" s="24"/>
      <c r="M178" s="206"/>
      <c r="N178" s="147"/>
      <c r="O178" s="148"/>
      <c r="P178" s="179">
        <f>IF(NOT(NOT(I178="")),"Fail",IF(NOT(I178&gt;0),"Fail","Pass"))</f>
      </c>
      <c r="Q178" s="148"/>
      <c r="R178" s="149"/>
      <c r="S178" s="207">
        <f>IF(NOT(NOT(I178="")),"must be &gt; 0",IF(NOT(I178&gt;0),"must be &gt; 0",""))</f>
      </c>
      <c r="T178" s="149"/>
      <c r="U178" s="53"/>
      <c r="V178" s="150"/>
      <c r="W178" s="255"/>
      <c r="X178" s="150"/>
      <c r="Y178" s="22"/>
    </row>
    <row r="179" spans="1:25" ht="15" hidden="1">
      <c r="A179" s="22"/>
      <c r="B179" s="142"/>
      <c r="C179" s="226"/>
      <c r="D179" s="142"/>
      <c r="E179" s="144"/>
      <c r="F179" s="145"/>
      <c r="G179" s="144"/>
      <c r="H179" s="25"/>
      <c r="I179" s="146"/>
      <c r="J179" s="25"/>
      <c r="K179" s="147"/>
      <c r="L179" s="24"/>
      <c r="M179" s="145"/>
      <c r="N179" s="147"/>
      <c r="O179" s="148"/>
      <c r="P179" s="24"/>
      <c r="Q179" s="148"/>
      <c r="R179" s="149"/>
      <c r="S179" s="146"/>
      <c r="T179" s="149"/>
      <c r="U179" s="53"/>
      <c r="V179" s="150"/>
      <c r="W179" s="255"/>
      <c r="X179" s="150"/>
      <c r="Y179" s="22"/>
    </row>
    <row r="180" spans="1:25" ht="15" customHeight="1">
      <c r="A180" s="22"/>
      <c r="B180" s="142"/>
      <c r="C180" s="201"/>
      <c r="D180" s="142"/>
      <c r="E180" s="144"/>
      <c r="F180" s="145"/>
      <c r="G180" s="144"/>
      <c r="H180" s="25"/>
      <c r="I180" s="146"/>
      <c r="J180" s="25"/>
      <c r="K180" s="147"/>
      <c r="L180" s="24"/>
      <c r="M180" s="145"/>
      <c r="N180" s="147"/>
      <c r="O180" s="148"/>
      <c r="P180" s="24"/>
      <c r="Q180" s="148"/>
      <c r="R180" s="149"/>
      <c r="S180" s="146"/>
      <c r="T180" s="149"/>
      <c r="U180" s="53"/>
      <c r="V180" s="150"/>
      <c r="W180" s="255"/>
      <c r="X180" s="150"/>
      <c r="Y180" s="22"/>
    </row>
    <row r="181" spans="1:25" ht="15" hidden="1">
      <c r="A181" s="22"/>
      <c r="B181" s="142"/>
      <c r="C181" s="201"/>
      <c r="D181" s="142"/>
      <c r="E181" s="144"/>
      <c r="F181" s="145"/>
      <c r="G181" s="144"/>
      <c r="H181" s="25"/>
      <c r="I181" s="146"/>
      <c r="J181" s="25"/>
      <c r="K181" s="147"/>
      <c r="L181" s="24"/>
      <c r="M181" s="145"/>
      <c r="N181" s="147"/>
      <c r="O181" s="148"/>
      <c r="P181" s="24"/>
      <c r="Q181" s="148"/>
      <c r="R181" s="149"/>
      <c r="S181" s="146"/>
      <c r="T181" s="149"/>
      <c r="U181" s="53"/>
      <c r="V181" s="150"/>
      <c r="W181" s="255"/>
      <c r="X181" s="150"/>
      <c r="Y181" s="22"/>
    </row>
    <row r="182" spans="1:25" ht="15" hidden="1" thickBot="1">
      <c r="A182" s="22"/>
      <c r="B182" s="142"/>
      <c r="C182" s="226"/>
      <c r="D182" s="142"/>
      <c r="E182" s="144"/>
      <c r="F182" s="145"/>
      <c r="G182" s="144"/>
      <c r="H182" s="25"/>
      <c r="I182" s="177"/>
      <c r="J182" s="25"/>
      <c r="K182" s="147"/>
      <c r="L182" s="24"/>
      <c r="M182" s="145"/>
      <c r="N182" s="147"/>
      <c r="O182" s="148"/>
      <c r="P182" s="24"/>
      <c r="Q182" s="148"/>
      <c r="R182" s="149"/>
      <c r="S182" s="146"/>
      <c r="T182" s="149"/>
      <c r="U182" s="53"/>
      <c r="V182" s="150"/>
      <c r="W182" s="255"/>
      <c r="X182" s="150"/>
      <c r="Y182" s="22"/>
    </row>
    <row r="183" spans="1:25" ht="15" thickBot="1">
      <c r="A183" s="22"/>
      <c r="B183" s="142"/>
      <c r="C183" s="227" t="s">
        <v>103</v>
      </c>
      <c r="D183" s="142"/>
      <c r="E183" s="144"/>
      <c r="F183" s="206" t="s">
        <v>66</v>
      </c>
      <c r="G183" s="144"/>
      <c r="H183" s="25"/>
      <c r="I183" s="233">
        <f>IF(AND(OR(ISBLANK(I134),I134=""),OR(ISBLANK(I152),I152=""),OR(ISBLANK(I178),I178="")),"",SUM(I134,I152,I178))</f>
      </c>
      <c r="J183" s="25"/>
      <c r="K183" s="147"/>
      <c r="L183" s="24"/>
      <c r="M183" s="206"/>
      <c r="N183" s="147"/>
      <c r="O183" s="148"/>
      <c r="P183" s="179">
        <f>IF(TRUE,"PassBecauseNoConstraints","ERROR")</f>
      </c>
      <c r="Q183" s="148"/>
      <c r="R183" s="149"/>
      <c r="S183" s="207">
        <f>IF(TRUE,"","ERROR")</f>
      </c>
      <c r="T183" s="149"/>
      <c r="U183" s="53"/>
      <c r="V183" s="150"/>
      <c r="W183" s="255"/>
      <c r="X183" s="150"/>
      <c r="Y183" s="22"/>
    </row>
    <row r="184" spans="1:25" ht="15" hidden="1">
      <c r="A184" s="22"/>
      <c r="B184" s="142"/>
      <c r="C184" s="226"/>
      <c r="D184" s="142"/>
      <c r="E184" s="144"/>
      <c r="F184" s="145"/>
      <c r="G184" s="144"/>
      <c r="H184" s="25"/>
      <c r="I184" s="146"/>
      <c r="J184" s="25"/>
      <c r="K184" s="147"/>
      <c r="L184" s="24"/>
      <c r="M184" s="145"/>
      <c r="N184" s="147"/>
      <c r="O184" s="148"/>
      <c r="P184" s="24"/>
      <c r="Q184" s="148"/>
      <c r="R184" s="149"/>
      <c r="S184" s="146"/>
      <c r="T184" s="149"/>
      <c r="U184" s="53"/>
      <c r="V184" s="150"/>
      <c r="W184" s="255"/>
      <c r="X184" s="150"/>
      <c r="Y184" s="22"/>
    </row>
    <row r="185" spans="1:25" ht="15" customHeight="1">
      <c r="A185" s="22"/>
      <c r="B185" s="142"/>
      <c r="C185" s="201"/>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hidden="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thickBot="1">
      <c r="A187" s="22"/>
      <c r="B187" s="142"/>
      <c r="C187" s="226"/>
      <c r="D187" s="142"/>
      <c r="E187" s="144"/>
      <c r="F187" s="145"/>
      <c r="G187" s="144"/>
      <c r="H187" s="25"/>
      <c r="I187" s="177"/>
      <c r="J187" s="25"/>
      <c r="K187" s="147"/>
      <c r="L187" s="24"/>
      <c r="M187" s="145"/>
      <c r="N187" s="147"/>
      <c r="O187" s="148"/>
      <c r="P187" s="24"/>
      <c r="Q187" s="148"/>
      <c r="R187" s="149"/>
      <c r="S187" s="146"/>
      <c r="T187" s="149"/>
      <c r="U187" s="53"/>
      <c r="V187" s="150"/>
      <c r="W187" s="255"/>
      <c r="X187" s="150"/>
      <c r="Y187" s="22"/>
    </row>
    <row r="188" spans="1:25" ht="15" thickBot="1">
      <c r="A188" s="22"/>
      <c r="B188" s="142"/>
      <c r="C188" s="227" t="s">
        <v>102</v>
      </c>
      <c r="D188" s="142"/>
      <c r="E188" s="144"/>
      <c r="F188" s="206" t="s">
        <v>66</v>
      </c>
      <c r="G188" s="144"/>
      <c r="H188" s="25"/>
      <c r="I188" s="233">
        <f>IF(AND(OR(ISBLANK(I79),I79=""),OR(ISBLANK(I183),I183="")),"",(IF(I79="",0,I79)-IF(I183="",0,I183)))</f>
      </c>
      <c r="J188" s="25"/>
      <c r="K188" s="147"/>
      <c r="L188" s="24"/>
      <c r="M188" s="206"/>
      <c r="N188" s="147"/>
      <c r="O188" s="148"/>
      <c r="P188" s="179">
        <f>IF(TRUE,"PassBecauseNoConstraints","ERROR")</f>
      </c>
      <c r="Q188" s="148"/>
      <c r="R188" s="149"/>
      <c r="S188" s="207">
        <f>IF(TRUE,"","ERROR")</f>
      </c>
      <c r="T188" s="149"/>
      <c r="U188" s="53"/>
      <c r="V188" s="150"/>
      <c r="W188" s="255"/>
      <c r="X188" s="150"/>
      <c r="Y188" s="22"/>
    </row>
    <row r="189" spans="1:25" ht="15" hidden="1">
      <c r="A189" s="22"/>
      <c r="B189" s="142"/>
      <c r="C189" s="226"/>
      <c r="D189" s="142"/>
      <c r="E189" s="144"/>
      <c r="F189" s="145"/>
      <c r="G189" s="144"/>
      <c r="H189" s="25"/>
      <c r="I189" s="146"/>
      <c r="J189" s="25"/>
      <c r="K189" s="147"/>
      <c r="L189" s="24"/>
      <c r="M189" s="145"/>
      <c r="N189" s="147"/>
      <c r="O189" s="148"/>
      <c r="P189" s="24"/>
      <c r="Q189" s="148"/>
      <c r="R189" s="149"/>
      <c r="S189" s="146"/>
      <c r="T189" s="149"/>
      <c r="U189" s="53"/>
      <c r="V189" s="150"/>
      <c r="W189" s="255"/>
      <c r="X189" s="150"/>
      <c r="Y189" s="22"/>
    </row>
    <row r="190" spans="1:25" ht="15" customHeight="1">
      <c r="A190" s="22"/>
      <c r="B190" s="142"/>
      <c r="C190" s="201"/>
      <c r="D190" s="142"/>
      <c r="E190" s="144"/>
      <c r="F190" s="145"/>
      <c r="G190" s="144"/>
      <c r="H190" s="25"/>
      <c r="I190" s="146"/>
      <c r="J190" s="25"/>
      <c r="K190" s="147"/>
      <c r="L190" s="24"/>
      <c r="M190" s="145"/>
      <c r="N190" s="147"/>
      <c r="O190" s="148"/>
      <c r="P190" s="24"/>
      <c r="Q190" s="148"/>
      <c r="R190" s="149"/>
      <c r="S190" s="146"/>
      <c r="T190" s="149"/>
      <c r="U190" s="53"/>
      <c r="V190" s="150"/>
      <c r="W190" s="255"/>
      <c r="X190" s="150"/>
      <c r="Y190" s="22"/>
    </row>
    <row r="191" spans="1:25" ht="15" hidden="1">
      <c r="A191" s="22"/>
      <c r="B191" s="142"/>
      <c r="C191" s="200"/>
      <c r="D191" s="142"/>
      <c r="E191" s="144"/>
      <c r="F191" s="145"/>
      <c r="G191" s="144"/>
      <c r="H191" s="25"/>
      <c r="I191" s="146"/>
      <c r="J191" s="25"/>
      <c r="K191" s="147"/>
      <c r="L191" s="24"/>
      <c r="M191" s="145"/>
      <c r="N191" s="147"/>
      <c r="O191" s="148"/>
      <c r="P191" s="24"/>
      <c r="Q191" s="148"/>
      <c r="R191" s="149"/>
      <c r="S191" s="146"/>
      <c r="T191" s="149"/>
      <c r="U191" s="53"/>
      <c r="V191" s="150"/>
      <c r="W191" s="255"/>
      <c r="X191" s="150"/>
      <c r="Y191" s="22"/>
    </row>
    <row r="192" spans="1:25" ht="15" customHeight="1">
      <c r="A192" s="22"/>
      <c r="B192" s="142"/>
      <c r="C192" s="192"/>
      <c r="D192" s="142"/>
      <c r="E192" s="144"/>
      <c r="F192" s="145"/>
      <c r="G192" s="144"/>
      <c r="H192" s="25"/>
      <c r="I192" s="146"/>
      <c r="J192" s="25"/>
      <c r="K192" s="147"/>
      <c r="L192" s="24"/>
      <c r="M192" s="145"/>
      <c r="N192" s="147"/>
      <c r="O192" s="148"/>
      <c r="P192" s="24"/>
      <c r="Q192" s="148"/>
      <c r="R192" s="149"/>
      <c r="S192" s="146"/>
      <c r="T192" s="149"/>
      <c r="U192" s="53"/>
      <c r="V192" s="150"/>
      <c r="W192" s="255"/>
      <c r="X192" s="150"/>
      <c r="Y192" s="22"/>
    </row>
    <row r="193" spans="1:25" ht="15" hidden="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55"/>
      <c r="X193" s="150"/>
      <c r="Y193" s="22"/>
    </row>
    <row r="194" spans="1:25" ht="15" hidden="1">
      <c r="A194" s="22"/>
      <c r="B194" s="142"/>
      <c r="C194" s="193"/>
      <c r="D194" s="142"/>
      <c r="E194" s="144"/>
      <c r="F194" s="145"/>
      <c r="G194" s="144"/>
      <c r="H194" s="25"/>
      <c r="I194" s="146"/>
      <c r="J194" s="25"/>
      <c r="K194" s="147"/>
      <c r="L194" s="24"/>
      <c r="M194" s="145"/>
      <c r="N194" s="147"/>
      <c r="O194" s="148"/>
      <c r="P194" s="24"/>
      <c r="Q194" s="148"/>
      <c r="R194" s="149"/>
      <c r="S194" s="146"/>
      <c r="T194" s="149"/>
      <c r="U194" s="53"/>
      <c r="V194" s="150"/>
      <c r="W194" s="255"/>
      <c r="X194" s="150"/>
      <c r="Y194" s="22"/>
    </row>
    <row r="195" spans="1:25" ht="21">
      <c r="A195" s="22"/>
      <c r="B195" s="142"/>
      <c r="C195" s="166" t="s">
        <v>101</v>
      </c>
      <c r="D195" s="142"/>
      <c r="E195" s="144"/>
      <c r="F195" s="145"/>
      <c r="G195" s="144"/>
      <c r="H195" s="25"/>
      <c r="I195" s="146"/>
      <c r="J195" s="25"/>
      <c r="K195" s="147"/>
      <c r="L195" s="24"/>
      <c r="M195" s="145"/>
      <c r="N195" s="147"/>
      <c r="O195" s="148"/>
      <c r="P195" s="24"/>
      <c r="Q195" s="148"/>
      <c r="R195" s="149"/>
      <c r="S195" s="146"/>
      <c r="T195" s="149"/>
      <c r="U195" s="53"/>
      <c r="V195" s="150"/>
      <c r="W195" s="255"/>
      <c r="X195" s="150"/>
      <c r="Y195" s="22"/>
    </row>
    <row r="196" spans="1:25" ht="7.5" customHeight="1">
      <c r="A196" s="22"/>
      <c r="B196" s="142"/>
      <c r="C196" s="193"/>
      <c r="D196" s="142"/>
      <c r="E196" s="144"/>
      <c r="F196" s="145"/>
      <c r="G196" s="144"/>
      <c r="H196" s="25"/>
      <c r="I196" s="146"/>
      <c r="J196" s="25"/>
      <c r="K196" s="147"/>
      <c r="L196" s="24"/>
      <c r="M196" s="145"/>
      <c r="N196" s="147"/>
      <c r="O196" s="148"/>
      <c r="P196" s="24"/>
      <c r="Q196" s="148"/>
      <c r="R196" s="149"/>
      <c r="S196" s="146"/>
      <c r="T196" s="149"/>
      <c r="U196" s="53"/>
      <c r="V196" s="150"/>
      <c r="W196" s="255"/>
      <c r="X196" s="150"/>
      <c r="Y196" s="22"/>
    </row>
    <row r="197" spans="1:25" ht="15" hidden="1">
      <c r="A197" s="22"/>
      <c r="B197" s="142"/>
      <c r="C197" s="200"/>
      <c r="D197" s="142"/>
      <c r="E197" s="144"/>
      <c r="F197" s="145"/>
      <c r="G197" s="144"/>
      <c r="H197" s="25"/>
      <c r="I197" s="146"/>
      <c r="J197" s="25"/>
      <c r="K197" s="147"/>
      <c r="L197" s="24"/>
      <c r="M197" s="145"/>
      <c r="N197" s="147"/>
      <c r="O197" s="148"/>
      <c r="P197" s="24"/>
      <c r="Q197" s="148"/>
      <c r="R197" s="149"/>
      <c r="S197" s="146"/>
      <c r="T197" s="149"/>
      <c r="U197" s="53"/>
      <c r="V197" s="150"/>
      <c r="W197" s="255"/>
      <c r="X197" s="150"/>
      <c r="Y197" s="22"/>
    </row>
    <row r="198" spans="1:25" ht="15" hidden="1">
      <c r="A198" s="22"/>
      <c r="B198" s="142"/>
      <c r="C198" s="201"/>
      <c r="D198" s="142"/>
      <c r="E198" s="144"/>
      <c r="F198" s="145"/>
      <c r="G198" s="144"/>
      <c r="H198" s="25"/>
      <c r="I198" s="146"/>
      <c r="J198" s="25"/>
      <c r="K198" s="147"/>
      <c r="L198" s="24"/>
      <c r="M198" s="145"/>
      <c r="N198" s="147"/>
      <c r="O198" s="148"/>
      <c r="P198" s="24"/>
      <c r="Q198" s="148"/>
      <c r="R198" s="149"/>
      <c r="S198" s="146"/>
      <c r="T198" s="149"/>
      <c r="U198" s="53"/>
      <c r="V198" s="150"/>
      <c r="W198" s="255"/>
      <c r="X198" s="150"/>
      <c r="Y198" s="22"/>
    </row>
    <row r="199" spans="1:25" ht="15" hidden="1">
      <c r="A199" s="22"/>
      <c r="B199" s="142"/>
      <c r="C199" s="202"/>
      <c r="D199" s="142"/>
      <c r="E199" s="144"/>
      <c r="F199" s="145"/>
      <c r="G199" s="144"/>
      <c r="H199" s="25"/>
      <c r="I199" s="146"/>
      <c r="J199" s="25"/>
      <c r="K199" s="147"/>
      <c r="L199" s="24"/>
      <c r="M199" s="145"/>
      <c r="N199" s="147"/>
      <c r="O199" s="148"/>
      <c r="P199" s="24"/>
      <c r="Q199" s="148"/>
      <c r="R199" s="149"/>
      <c r="S199" s="146"/>
      <c r="T199" s="149"/>
      <c r="U199" s="53"/>
      <c r="V199" s="150"/>
      <c r="W199" s="255"/>
      <c r="X199" s="150"/>
      <c r="Y199" s="22"/>
    </row>
    <row r="200" spans="1:25" ht="18.75">
      <c r="A200" s="22"/>
      <c r="B200" s="142"/>
      <c r="C200" s="203" t="s">
        <v>100</v>
      </c>
      <c r="D200" s="142"/>
      <c r="E200" s="144"/>
      <c r="F200" s="145"/>
      <c r="G200" s="144"/>
      <c r="H200" s="25"/>
      <c r="I200" s="146"/>
      <c r="J200" s="25"/>
      <c r="K200" s="147"/>
      <c r="L200" s="24"/>
      <c r="M200" s="145"/>
      <c r="N200" s="147"/>
      <c r="O200" s="148"/>
      <c r="P200" s="24"/>
      <c r="Q200" s="148"/>
      <c r="R200" s="149"/>
      <c r="S200" s="146"/>
      <c r="T200" s="149"/>
      <c r="U200" s="53"/>
      <c r="V200" s="150"/>
      <c r="W200" s="255"/>
      <c r="X200" s="150"/>
      <c r="Y200" s="22"/>
    </row>
    <row r="201" spans="1:25" ht="7.5" customHeight="1">
      <c r="A201" s="22"/>
      <c r="B201" s="142"/>
      <c r="C201" s="202"/>
      <c r="D201" s="142"/>
      <c r="E201" s="144"/>
      <c r="F201" s="145"/>
      <c r="G201" s="144"/>
      <c r="H201" s="25"/>
      <c r="I201" s="146"/>
      <c r="J201" s="25"/>
      <c r="K201" s="147"/>
      <c r="L201" s="24"/>
      <c r="M201" s="145"/>
      <c r="N201" s="147"/>
      <c r="O201" s="148"/>
      <c r="P201" s="24"/>
      <c r="Q201" s="148"/>
      <c r="R201" s="149"/>
      <c r="S201" s="146"/>
      <c r="T201" s="149"/>
      <c r="U201" s="53"/>
      <c r="V201" s="150"/>
      <c r="W201" s="255"/>
      <c r="X201" s="150"/>
      <c r="Y201" s="22"/>
    </row>
    <row r="202" spans="1:25" ht="15" hidden="1" thickBot="1">
      <c r="A202" s="22"/>
      <c r="B202" s="142"/>
      <c r="C202" s="204"/>
      <c r="D202" s="142"/>
      <c r="E202" s="144"/>
      <c r="F202" s="145"/>
      <c r="G202" s="144"/>
      <c r="H202" s="25"/>
      <c r="I202" s="177"/>
      <c r="J202" s="25"/>
      <c r="K202" s="147"/>
      <c r="L202" s="24"/>
      <c r="M202" s="145"/>
      <c r="N202" s="147"/>
      <c r="O202" s="148"/>
      <c r="P202" s="24"/>
      <c r="Q202" s="148"/>
      <c r="R202" s="149"/>
      <c r="S202" s="146"/>
      <c r="T202" s="149"/>
      <c r="U202" s="53"/>
      <c r="V202" s="150"/>
      <c r="W202" s="255"/>
      <c r="X202" s="150"/>
      <c r="Y202" s="22"/>
    </row>
    <row r="203" spans="1:25" ht="15" thickBot="1">
      <c r="A203" s="22"/>
      <c r="B203" s="142"/>
      <c r="C203" s="205" t="s">
        <v>99</v>
      </c>
      <c r="D203" s="142"/>
      <c r="E203" s="144"/>
      <c r="F203" s="206" t="s">
        <v>66</v>
      </c>
      <c r="G203" s="144"/>
      <c r="H203" s="25"/>
      <c r="I203" s="261"/>
      <c r="J203" s="25"/>
      <c r="K203" s="147"/>
      <c r="L203" s="24"/>
      <c r="M203" s="206"/>
      <c r="N203" s="147"/>
      <c r="O203" s="148"/>
      <c r="P203" s="179">
        <f>IF(NOT(NOT(IF(ISERROR(I203),ERROR.TYPE(#REF!)=ERROR.TYPE(I203),FALSE))),"Fail",IF(NOT(NOT(ISBLANK(I203))),"Fail",IF(NOT(ISNUMBER(I203)),"Fail",IF(NOT(LEN(I203)-FIND(".",I203&amp;".")&lt;=0),"Fail","Pass"))))</f>
      </c>
      <c r="Q203" s="148"/>
      <c r="R203" s="149"/>
      <c r="S203" s="207">
        <f>IF(NOT(NOT(IF(ISERROR(I203),ERROR.TYPE(#REF!)=ERROR.TYPE(I203),FALSE))),"UNDO NOW (use button or Ctrl+Z)! CANNOT DRAG-AND-DROP CELLS",IF(NOT(NOT(ISBLANK(I203))),"input required",IF(NOT(ISNUMBER(I203)),"enter a number",IF(NOT(LEN(I203)-FIND(".",I203&amp;".")&lt;=0),"whole number only",""))))</f>
      </c>
      <c r="T203" s="149"/>
      <c r="U203" s="53"/>
      <c r="V203" s="150"/>
      <c r="W203" s="255"/>
      <c r="X203" s="150"/>
      <c r="Y203" s="22"/>
    </row>
    <row r="204" spans="1:25" ht="15" hidden="1">
      <c r="A204" s="22"/>
      <c r="B204" s="142"/>
      <c r="C204" s="204"/>
      <c r="D204" s="142"/>
      <c r="E204" s="144"/>
      <c r="F204" s="145"/>
      <c r="G204" s="144"/>
      <c r="H204" s="25"/>
      <c r="I204" s="146"/>
      <c r="J204" s="25"/>
      <c r="K204" s="147"/>
      <c r="L204" s="24"/>
      <c r="M204" s="145"/>
      <c r="N204" s="147"/>
      <c r="O204" s="148"/>
      <c r="P204" s="24"/>
      <c r="Q204" s="148"/>
      <c r="R204" s="149"/>
      <c r="S204" s="146"/>
      <c r="T204" s="149"/>
      <c r="U204" s="53"/>
      <c r="V204" s="150"/>
      <c r="W204" s="255"/>
      <c r="X204" s="150"/>
      <c r="Y204" s="22"/>
    </row>
    <row r="205" spans="1:25" ht="15" customHeight="1">
      <c r="A205" s="22"/>
      <c r="B205" s="142"/>
      <c r="C205" s="201"/>
      <c r="D205" s="142"/>
      <c r="E205" s="144"/>
      <c r="F205" s="145"/>
      <c r="G205" s="144"/>
      <c r="H205" s="25"/>
      <c r="I205" s="146"/>
      <c r="J205" s="25"/>
      <c r="K205" s="147"/>
      <c r="L205" s="24"/>
      <c r="M205" s="145"/>
      <c r="N205" s="147"/>
      <c r="O205" s="148"/>
      <c r="P205" s="24"/>
      <c r="Q205" s="148"/>
      <c r="R205" s="149"/>
      <c r="S205" s="146"/>
      <c r="T205" s="149"/>
      <c r="U205" s="53"/>
      <c r="V205" s="150"/>
      <c r="W205" s="255"/>
      <c r="X205" s="150"/>
      <c r="Y205" s="22"/>
    </row>
    <row r="206" spans="1:25" ht="15" hidden="1">
      <c r="A206" s="22"/>
      <c r="B206" s="142"/>
      <c r="C206" s="201"/>
      <c r="D206" s="142"/>
      <c r="E206" s="144"/>
      <c r="F206" s="145"/>
      <c r="G206" s="144"/>
      <c r="H206" s="25"/>
      <c r="I206" s="146"/>
      <c r="J206" s="25"/>
      <c r="K206" s="147"/>
      <c r="L206" s="24"/>
      <c r="M206" s="145"/>
      <c r="N206" s="147"/>
      <c r="O206" s="148"/>
      <c r="P206" s="24"/>
      <c r="Q206" s="148"/>
      <c r="R206" s="149"/>
      <c r="S206" s="146"/>
      <c r="T206" s="149"/>
      <c r="U206" s="53"/>
      <c r="V206" s="150"/>
      <c r="W206" s="255"/>
      <c r="X206" s="150"/>
      <c r="Y206" s="22"/>
    </row>
    <row r="207" spans="1:25" ht="15" hidden="1">
      <c r="A207" s="22"/>
      <c r="B207" s="142"/>
      <c r="C207" s="202"/>
      <c r="D207" s="142"/>
      <c r="E207" s="144"/>
      <c r="F207" s="145"/>
      <c r="G207" s="144"/>
      <c r="H207" s="25"/>
      <c r="I207" s="146"/>
      <c r="J207" s="25"/>
      <c r="K207" s="147"/>
      <c r="L207" s="24"/>
      <c r="M207" s="145"/>
      <c r="N207" s="147"/>
      <c r="O207" s="148"/>
      <c r="P207" s="24"/>
      <c r="Q207" s="148"/>
      <c r="R207" s="149"/>
      <c r="S207" s="146"/>
      <c r="T207" s="149"/>
      <c r="U207" s="53"/>
      <c r="V207" s="150"/>
      <c r="W207" s="255"/>
      <c r="X207" s="150"/>
      <c r="Y207" s="22"/>
    </row>
    <row r="208" spans="1:25" ht="18.75">
      <c r="A208" s="22"/>
      <c r="B208" s="142"/>
      <c r="C208" s="203" t="s">
        <v>98</v>
      </c>
      <c r="D208" s="142"/>
      <c r="E208" s="144"/>
      <c r="F208" s="145"/>
      <c r="G208" s="144"/>
      <c r="H208" s="25"/>
      <c r="I208" s="146"/>
      <c r="J208" s="25"/>
      <c r="K208" s="147"/>
      <c r="L208" s="24"/>
      <c r="M208" s="145"/>
      <c r="N208" s="147"/>
      <c r="O208" s="148"/>
      <c r="P208" s="24"/>
      <c r="Q208" s="148"/>
      <c r="R208" s="149"/>
      <c r="S208" s="146"/>
      <c r="T208" s="149"/>
      <c r="U208" s="53"/>
      <c r="V208" s="150"/>
      <c r="W208" s="255"/>
      <c r="X208" s="150"/>
      <c r="Y208" s="22"/>
    </row>
    <row r="209" spans="1:25" ht="7.5" customHeight="1">
      <c r="A209" s="22"/>
      <c r="B209" s="142"/>
      <c r="C209" s="202"/>
      <c r="D209" s="142"/>
      <c r="E209" s="144"/>
      <c r="F209" s="145"/>
      <c r="G209" s="144"/>
      <c r="H209" s="25"/>
      <c r="I209" s="146"/>
      <c r="J209" s="25"/>
      <c r="K209" s="147"/>
      <c r="L209" s="24"/>
      <c r="M209" s="145"/>
      <c r="N209" s="147"/>
      <c r="O209" s="148"/>
      <c r="P209" s="24"/>
      <c r="Q209" s="148"/>
      <c r="R209" s="149"/>
      <c r="S209" s="146"/>
      <c r="T209" s="149"/>
      <c r="U209" s="53"/>
      <c r="V209" s="150"/>
      <c r="W209" s="255"/>
      <c r="X209" s="150"/>
      <c r="Y209" s="22"/>
    </row>
    <row r="210" spans="1:25" ht="15" hidden="1">
      <c r="A210" s="22"/>
      <c r="B210" s="142"/>
      <c r="C210" s="208"/>
      <c r="D210" s="142"/>
      <c r="E210" s="144"/>
      <c r="F210" s="145"/>
      <c r="G210" s="144"/>
      <c r="H210" s="25"/>
      <c r="I210" s="146"/>
      <c r="J210" s="25"/>
      <c r="K210" s="147"/>
      <c r="L210" s="24"/>
      <c r="M210" s="145"/>
      <c r="N210" s="147"/>
      <c r="O210" s="148"/>
      <c r="P210" s="24"/>
      <c r="Q210" s="148"/>
      <c r="R210" s="149"/>
      <c r="S210" s="146"/>
      <c r="T210" s="149"/>
      <c r="U210" s="53"/>
      <c r="V210" s="150"/>
      <c r="W210" s="255"/>
      <c r="X210" s="150"/>
      <c r="Y210" s="22"/>
    </row>
    <row r="211" spans="1:25" ht="30">
      <c r="A211" s="22"/>
      <c r="B211" s="142"/>
      <c r="C211" s="218" t="s">
        <v>97</v>
      </c>
      <c r="D211" s="142"/>
      <c r="E211" s="144"/>
      <c r="F211" s="145"/>
      <c r="G211" s="144"/>
      <c r="H211" s="25"/>
      <c r="I211" s="146"/>
      <c r="J211" s="25"/>
      <c r="K211" s="147"/>
      <c r="L211" s="24"/>
      <c r="M211" s="145"/>
      <c r="N211" s="147"/>
      <c r="O211" s="148"/>
      <c r="P211" s="24"/>
      <c r="Q211" s="148"/>
      <c r="R211" s="149"/>
      <c r="S211" s="146"/>
      <c r="T211" s="149"/>
      <c r="U211" s="53"/>
      <c r="V211" s="150"/>
      <c r="W211" s="255"/>
      <c r="X211" s="150"/>
      <c r="Y211" s="22"/>
    </row>
    <row r="212" spans="1:25" ht="15" customHeight="1">
      <c r="A212" s="22"/>
      <c r="B212" s="142"/>
      <c r="C212" s="208"/>
      <c r="D212" s="142"/>
      <c r="E212" s="144"/>
      <c r="F212" s="145"/>
      <c r="G212" s="144"/>
      <c r="H212" s="25"/>
      <c r="I212" s="146"/>
      <c r="J212" s="25"/>
      <c r="K212" s="147"/>
      <c r="L212" s="24"/>
      <c r="M212" s="145"/>
      <c r="N212" s="147"/>
      <c r="O212" s="148"/>
      <c r="P212" s="24"/>
      <c r="Q212" s="148"/>
      <c r="R212" s="149"/>
      <c r="S212" s="146"/>
      <c r="T212" s="149"/>
      <c r="U212" s="53"/>
      <c r="V212" s="150"/>
      <c r="W212" s="255"/>
      <c r="X212" s="150"/>
      <c r="Y212" s="22"/>
    </row>
    <row r="213" spans="1:25" ht="15" hidden="1" thickBot="1">
      <c r="A213" s="22"/>
      <c r="B213" s="142"/>
      <c r="C213" s="204"/>
      <c r="D213" s="142"/>
      <c r="E213" s="144"/>
      <c r="F213" s="145"/>
      <c r="G213" s="144"/>
      <c r="H213" s="25"/>
      <c r="I213" s="177"/>
      <c r="J213" s="25"/>
      <c r="K213" s="147"/>
      <c r="L213" s="24"/>
      <c r="M213" s="145"/>
      <c r="N213" s="147"/>
      <c r="O213" s="148"/>
      <c r="P213" s="24"/>
      <c r="Q213" s="148"/>
      <c r="R213" s="149"/>
      <c r="S213" s="146"/>
      <c r="T213" s="149"/>
      <c r="U213" s="53"/>
      <c r="V213" s="150"/>
      <c r="W213" s="255"/>
      <c r="X213" s="150"/>
      <c r="Y213" s="22"/>
    </row>
    <row r="214" spans="1:25" ht="15">
      <c r="A214" s="22"/>
      <c r="B214" s="142"/>
      <c r="C214" s="205" t="s">
        <v>96</v>
      </c>
      <c r="D214" s="142"/>
      <c r="E214" s="144"/>
      <c r="F214" s="206" t="s">
        <v>66</v>
      </c>
      <c r="G214" s="144"/>
      <c r="H214" s="25"/>
      <c r="I214" s="258"/>
      <c r="J214" s="25"/>
      <c r="K214" s="147"/>
      <c r="L214" s="24"/>
      <c r="M214" s="206"/>
      <c r="N214" s="147"/>
      <c r="O214" s="148"/>
      <c r="P214" s="179">
        <f>IF(NOT(NOT(IF(ISERROR(I214),ERROR.TYPE(#REF!)=ERROR.TYPE(I214),FALSE))),"Fail",IF(NOT(NOT(ISBLANK(I214))),"Fail",IF(NOT(ISNUMBER(I214)),"Fail",IF(NOT(LEN(I214)-FIND(".",I214&amp;".")&lt;=0),"Fail","Pass"))))</f>
      </c>
      <c r="Q214" s="148"/>
      <c r="R214" s="149"/>
      <c r="S214" s="207">
        <f>IF(NOT(NOT(IF(ISERROR(I214),ERROR.TYPE(#REF!)=ERROR.TYPE(I214),FALSE))),"UNDO NOW (use button or Ctrl+Z)! CANNOT DRAG-AND-DROP CELLS",IF(NOT(NOT(ISBLANK(I214))),"input required",IF(NOT(ISNUMBER(I214)),"enter a number",IF(NOT(LEN(I214)-FIND(".",I214&amp;".")&lt;=0),"whole number only",""))))</f>
      </c>
      <c r="T214" s="149"/>
      <c r="U214" s="53"/>
      <c r="V214" s="150"/>
      <c r="W214" s="255"/>
      <c r="X214" s="150"/>
      <c r="Y214" s="22"/>
    </row>
    <row r="215" spans="1:25" ht="15">
      <c r="A215" s="22"/>
      <c r="B215" s="142"/>
      <c r="C215" s="205" t="s">
        <v>95</v>
      </c>
      <c r="D215" s="142"/>
      <c r="E215" s="144"/>
      <c r="F215" s="206" t="s">
        <v>66</v>
      </c>
      <c r="G215" s="144"/>
      <c r="H215" s="25"/>
      <c r="I215" s="260"/>
      <c r="J215" s="25"/>
      <c r="K215" s="147"/>
      <c r="L215" s="24"/>
      <c r="M215" s="206"/>
      <c r="N215" s="147"/>
      <c r="O215" s="148"/>
      <c r="P215" s="179">
        <f>IF(NOT(NOT(IF(ISERROR(I215),ERROR.TYPE(#REF!)=ERROR.TYPE(I215),FALSE))),"Fail",IF(NOT(NOT(ISBLANK(I215))),"Fail",IF(NOT(ISNUMBER(I215)),"Fail",IF(NOT(LEN(I215)-FIND(".",I215&amp;".")&lt;=0),"Fail","Pass"))))</f>
      </c>
      <c r="Q215" s="148"/>
      <c r="R215" s="149"/>
      <c r="S215" s="207">
        <f>IF(NOT(NOT(IF(ISERROR(I215),ERROR.TYPE(#REF!)=ERROR.TYPE(I215),FALSE))),"UNDO NOW (use button or Ctrl+Z)! CANNOT DRAG-AND-DROP CELLS",IF(NOT(NOT(ISBLANK(I215))),"input required",IF(NOT(ISNUMBER(I215)),"enter a number",IF(NOT(LEN(I215)-FIND(".",I215&amp;".")&lt;=0),"whole number only",""))))</f>
      </c>
      <c r="T215" s="149"/>
      <c r="U215" s="53"/>
      <c r="V215" s="150"/>
      <c r="W215" s="255"/>
      <c r="X215" s="150"/>
      <c r="Y215" s="22"/>
    </row>
    <row r="216" spans="1:25" ht="15" thickBot="1">
      <c r="A216" s="22"/>
      <c r="B216" s="142"/>
      <c r="C216" s="205" t="s">
        <v>94</v>
      </c>
      <c r="D216" s="142"/>
      <c r="E216" s="144"/>
      <c r="F216" s="206" t="s">
        <v>66</v>
      </c>
      <c r="G216" s="144"/>
      <c r="H216" s="25"/>
      <c r="I216" s="259"/>
      <c r="J216" s="25"/>
      <c r="K216" s="147"/>
      <c r="L216" s="24"/>
      <c r="M216" s="206"/>
      <c r="N216" s="147"/>
      <c r="O216" s="148"/>
      <c r="P216" s="179">
        <f>IF(NOT(NOT(IF(ISERROR(I216),ERROR.TYPE(#REF!)=ERROR.TYPE(I216),FALSE))),"Fail",IF(NOT(NOT(ISBLANK(I216))),"Fail",IF(NOT(ISNUMBER(I216)),"Fail",IF(NOT(LEN(I216)-FIND(".",I216&amp;".")&lt;=0),"Fail","Pass"))))</f>
      </c>
      <c r="Q216" s="148"/>
      <c r="R216" s="149"/>
      <c r="S216" s="207">
        <f>IF(NOT(NOT(IF(ISERROR(I216),ERROR.TYPE(#REF!)=ERROR.TYPE(I216),FALSE))),"UNDO NOW (use button or Ctrl+Z)! CANNOT DRAG-AND-DROP CELLS",IF(NOT(NOT(ISBLANK(I216))),"input required",IF(NOT(ISNUMBER(I216)),"enter a number",IF(NOT(LEN(I216)-FIND(".",I216&amp;".")&lt;=0),"whole number only",""))))</f>
      </c>
      <c r="T216" s="149"/>
      <c r="U216" s="53"/>
      <c r="V216" s="150"/>
      <c r="W216" s="255"/>
      <c r="X216" s="150"/>
      <c r="Y216" s="22"/>
    </row>
    <row r="217" spans="1:25" ht="15" hidden="1">
      <c r="A217" s="22"/>
      <c r="B217" s="142"/>
      <c r="C217" s="204"/>
      <c r="D217" s="142"/>
      <c r="E217" s="144"/>
      <c r="F217" s="145"/>
      <c r="G217" s="144"/>
      <c r="H217" s="25"/>
      <c r="I217" s="146"/>
      <c r="J217" s="25"/>
      <c r="K217" s="147"/>
      <c r="L217" s="24"/>
      <c r="M217" s="145"/>
      <c r="N217" s="147"/>
      <c r="O217" s="148"/>
      <c r="P217" s="24"/>
      <c r="Q217" s="148"/>
      <c r="R217" s="149"/>
      <c r="S217" s="146"/>
      <c r="T217" s="149"/>
      <c r="U217" s="53"/>
      <c r="V217" s="150"/>
      <c r="W217" s="255"/>
      <c r="X217" s="150"/>
      <c r="Y217" s="22"/>
    </row>
    <row r="218" spans="1:25" ht="15" hidden="1" thickBot="1">
      <c r="A218" s="22"/>
      <c r="B218" s="142"/>
      <c r="C218" s="226"/>
      <c r="D218" s="142"/>
      <c r="E218" s="144"/>
      <c r="F218" s="145"/>
      <c r="G218" s="144"/>
      <c r="H218" s="25"/>
      <c r="I218" s="177"/>
      <c r="J218" s="25"/>
      <c r="K218" s="147"/>
      <c r="L218" s="24"/>
      <c r="M218" s="145"/>
      <c r="N218" s="147"/>
      <c r="O218" s="148"/>
      <c r="P218" s="24"/>
      <c r="Q218" s="148"/>
      <c r="R218" s="149"/>
      <c r="S218" s="146"/>
      <c r="T218" s="149"/>
      <c r="U218" s="53"/>
      <c r="V218" s="150"/>
      <c r="W218" s="255"/>
      <c r="X218" s="150"/>
      <c r="Y218" s="22"/>
    </row>
    <row r="219" spans="1:25" ht="15" thickBot="1">
      <c r="A219" s="22"/>
      <c r="B219" s="142"/>
      <c r="C219" s="227" t="s">
        <v>93</v>
      </c>
      <c r="D219" s="142"/>
      <c r="E219" s="144"/>
      <c r="F219" s="206" t="s">
        <v>66</v>
      </c>
      <c r="G219" s="144"/>
      <c r="H219" s="25"/>
      <c r="I219" s="233">
        <f>IF(AND(OR(ISBLANK(I214),I214=""),OR(ISBLANK(I215),I215=""),OR(ISBLANK(I216),I216="")),"",SUM(I214,I215,I216))</f>
      </c>
      <c r="J219" s="25"/>
      <c r="K219" s="147"/>
      <c r="L219" s="24"/>
      <c r="M219" s="206"/>
      <c r="N219" s="147"/>
      <c r="O219" s="148"/>
      <c r="P219" s="179">
        <f>IF(TRUE,"PassBecauseNoConstraints","ERROR")</f>
      </c>
      <c r="Q219" s="148"/>
      <c r="R219" s="149"/>
      <c r="S219" s="207">
        <f>IF(TRUE,"","ERROR")</f>
      </c>
      <c r="T219" s="149"/>
      <c r="U219" s="53"/>
      <c r="V219" s="150"/>
      <c r="W219" s="255"/>
      <c r="X219" s="150"/>
      <c r="Y219" s="22"/>
    </row>
    <row r="220" spans="1:25" ht="15" hidden="1">
      <c r="A220" s="22"/>
      <c r="B220" s="142"/>
      <c r="C220" s="226"/>
      <c r="D220" s="142"/>
      <c r="E220" s="144"/>
      <c r="F220" s="145"/>
      <c r="G220" s="144"/>
      <c r="H220" s="25"/>
      <c r="I220" s="146"/>
      <c r="J220" s="25"/>
      <c r="K220" s="147"/>
      <c r="L220" s="24"/>
      <c r="M220" s="145"/>
      <c r="N220" s="147"/>
      <c r="O220" s="148"/>
      <c r="P220" s="24"/>
      <c r="Q220" s="148"/>
      <c r="R220" s="149"/>
      <c r="S220" s="146"/>
      <c r="T220" s="149"/>
      <c r="U220" s="53"/>
      <c r="V220" s="150"/>
      <c r="W220" s="255"/>
      <c r="X220" s="150"/>
      <c r="Y220" s="22"/>
    </row>
    <row r="221" spans="1:25" ht="15" customHeight="1">
      <c r="A221" s="22"/>
      <c r="B221" s="142"/>
      <c r="C221" s="201"/>
      <c r="D221" s="142"/>
      <c r="E221" s="144"/>
      <c r="F221" s="145"/>
      <c r="G221" s="144"/>
      <c r="H221" s="25"/>
      <c r="I221" s="146"/>
      <c r="J221" s="25"/>
      <c r="K221" s="147"/>
      <c r="L221" s="24"/>
      <c r="M221" s="145"/>
      <c r="N221" s="147"/>
      <c r="O221" s="148"/>
      <c r="P221" s="24"/>
      <c r="Q221" s="148"/>
      <c r="R221" s="149"/>
      <c r="S221" s="146"/>
      <c r="T221" s="149"/>
      <c r="U221" s="53"/>
      <c r="V221" s="150"/>
      <c r="W221" s="255"/>
      <c r="X221" s="150"/>
      <c r="Y221" s="22"/>
    </row>
    <row r="222" spans="1:25" ht="15" hidden="1">
      <c r="A222" s="22"/>
      <c r="B222" s="142"/>
      <c r="C222" s="201"/>
      <c r="D222" s="142"/>
      <c r="E222" s="144"/>
      <c r="F222" s="145"/>
      <c r="G222" s="144"/>
      <c r="H222" s="25"/>
      <c r="I222" s="146"/>
      <c r="J222" s="25"/>
      <c r="K222" s="147"/>
      <c r="L222" s="24"/>
      <c r="M222" s="145"/>
      <c r="N222" s="147"/>
      <c r="O222" s="148"/>
      <c r="P222" s="24"/>
      <c r="Q222" s="148"/>
      <c r="R222" s="149"/>
      <c r="S222" s="146"/>
      <c r="T222" s="149"/>
      <c r="U222" s="53"/>
      <c r="V222" s="150"/>
      <c r="W222" s="255"/>
      <c r="X222" s="150"/>
      <c r="Y222" s="22"/>
    </row>
    <row r="223" spans="1:25" ht="15" hidden="1" thickBot="1">
      <c r="A223" s="22"/>
      <c r="B223" s="142"/>
      <c r="C223" s="226"/>
      <c r="D223" s="142"/>
      <c r="E223" s="144"/>
      <c r="F223" s="145"/>
      <c r="G223" s="144"/>
      <c r="H223" s="25"/>
      <c r="I223" s="177"/>
      <c r="J223" s="25"/>
      <c r="K223" s="147"/>
      <c r="L223" s="24"/>
      <c r="M223" s="145"/>
      <c r="N223" s="147"/>
      <c r="O223" s="148"/>
      <c r="P223" s="24"/>
      <c r="Q223" s="148"/>
      <c r="R223" s="149"/>
      <c r="S223" s="146"/>
      <c r="T223" s="149"/>
      <c r="U223" s="53"/>
      <c r="V223" s="150"/>
      <c r="W223" s="255"/>
      <c r="X223" s="150"/>
      <c r="Y223" s="22"/>
    </row>
    <row r="224" spans="1:25" ht="15" thickBot="1">
      <c r="A224" s="22"/>
      <c r="B224" s="142"/>
      <c r="C224" s="227" t="s">
        <v>92</v>
      </c>
      <c r="D224" s="142"/>
      <c r="E224" s="144"/>
      <c r="F224" s="206" t="s">
        <v>66</v>
      </c>
      <c r="G224" s="144"/>
      <c r="H224" s="25"/>
      <c r="I224" s="233">
        <f>IF(AND(OR(ISBLANK(I203),I203=""),OR(ISBLANK(I219),I219="")),"",SUM(I203,I219))</f>
      </c>
      <c r="J224" s="25"/>
      <c r="K224" s="147"/>
      <c r="L224" s="24"/>
      <c r="M224" s="206"/>
      <c r="N224" s="147"/>
      <c r="O224" s="148"/>
      <c r="P224" s="179">
        <f>IF(TRUE,"PassBecauseNoConstraints","ERROR")</f>
      </c>
      <c r="Q224" s="148"/>
      <c r="R224" s="149"/>
      <c r="S224" s="207">
        <f>IF(TRUE,"","ERROR")</f>
      </c>
      <c r="T224" s="149"/>
      <c r="U224" s="53"/>
      <c r="V224" s="150"/>
      <c r="W224" s="255"/>
      <c r="X224" s="150"/>
      <c r="Y224" s="22"/>
    </row>
    <row r="225" spans="1:25" ht="15" hidden="1">
      <c r="A225" s="22"/>
      <c r="B225" s="142"/>
      <c r="C225" s="226"/>
      <c r="D225" s="142"/>
      <c r="E225" s="144"/>
      <c r="F225" s="145"/>
      <c r="G225" s="144"/>
      <c r="H225" s="25"/>
      <c r="I225" s="146"/>
      <c r="J225" s="25"/>
      <c r="K225" s="147"/>
      <c r="L225" s="24"/>
      <c r="M225" s="145"/>
      <c r="N225" s="147"/>
      <c r="O225" s="148"/>
      <c r="P225" s="24"/>
      <c r="Q225" s="148"/>
      <c r="R225" s="149"/>
      <c r="S225" s="146"/>
      <c r="T225" s="149"/>
      <c r="U225" s="53"/>
      <c r="V225" s="150"/>
      <c r="W225" s="255"/>
      <c r="X225" s="150"/>
      <c r="Y225" s="22"/>
    </row>
    <row r="226" spans="1:25" ht="15" customHeight="1">
      <c r="A226" s="22"/>
      <c r="B226" s="142"/>
      <c r="C226" s="201"/>
      <c r="D226" s="142"/>
      <c r="E226" s="144"/>
      <c r="F226" s="145"/>
      <c r="G226" s="144"/>
      <c r="H226" s="25"/>
      <c r="I226" s="146"/>
      <c r="J226" s="25"/>
      <c r="K226" s="147"/>
      <c r="L226" s="24"/>
      <c r="M226" s="145"/>
      <c r="N226" s="147"/>
      <c r="O226" s="148"/>
      <c r="P226" s="24"/>
      <c r="Q226" s="148"/>
      <c r="R226" s="149"/>
      <c r="S226" s="146"/>
      <c r="T226" s="149"/>
      <c r="U226" s="53"/>
      <c r="V226" s="150"/>
      <c r="W226" s="255"/>
      <c r="X226" s="150"/>
      <c r="Y226" s="22"/>
    </row>
    <row r="227" spans="1:25" ht="15" hidden="1">
      <c r="A227" s="22"/>
      <c r="B227" s="142"/>
      <c r="C227" s="201"/>
      <c r="D227" s="142"/>
      <c r="E227" s="144"/>
      <c r="F227" s="145"/>
      <c r="G227" s="144"/>
      <c r="H227" s="25"/>
      <c r="I227" s="146"/>
      <c r="J227" s="25"/>
      <c r="K227" s="147"/>
      <c r="L227" s="24"/>
      <c r="M227" s="145"/>
      <c r="N227" s="147"/>
      <c r="O227" s="148"/>
      <c r="P227" s="24"/>
      <c r="Q227" s="148"/>
      <c r="R227" s="149"/>
      <c r="S227" s="146"/>
      <c r="T227" s="149"/>
      <c r="U227" s="53"/>
      <c r="V227" s="150"/>
      <c r="W227" s="255"/>
      <c r="X227" s="150"/>
      <c r="Y227" s="22"/>
    </row>
    <row r="228" spans="1:25" ht="15" hidden="1" thickBot="1">
      <c r="A228" s="22"/>
      <c r="B228" s="142"/>
      <c r="C228" s="226"/>
      <c r="D228" s="142"/>
      <c r="E228" s="144"/>
      <c r="F228" s="145"/>
      <c r="G228" s="144"/>
      <c r="H228" s="25"/>
      <c r="I228" s="177"/>
      <c r="J228" s="25"/>
      <c r="K228" s="147"/>
      <c r="L228" s="24"/>
      <c r="M228" s="145"/>
      <c r="N228" s="147"/>
      <c r="O228" s="148"/>
      <c r="P228" s="24"/>
      <c r="Q228" s="148"/>
      <c r="R228" s="149"/>
      <c r="S228" s="146"/>
      <c r="T228" s="149"/>
      <c r="U228" s="53"/>
      <c r="V228" s="150"/>
      <c r="W228" s="255"/>
      <c r="X228" s="150"/>
      <c r="Y228" s="22"/>
    </row>
    <row r="229" spans="1:25" ht="15" thickBot="1">
      <c r="A229" s="22"/>
      <c r="B229" s="142"/>
      <c r="C229" s="227" t="s">
        <v>91</v>
      </c>
      <c r="D229" s="142"/>
      <c r="E229" s="144"/>
      <c r="F229" s="206" t="s">
        <v>66</v>
      </c>
      <c r="G229" s="144"/>
      <c r="H229" s="25"/>
      <c r="I229" s="233">
        <f>IF(AND(OR(ISBLANK(I188),I188=""),OR(ISBLANK(I224),I224="")),"",SUM(I188,I224))</f>
      </c>
      <c r="J229" s="25"/>
      <c r="K229" s="147"/>
      <c r="L229" s="24"/>
      <c r="M229" s="206"/>
      <c r="N229" s="147"/>
      <c r="O229" s="148"/>
      <c r="P229" s="179">
        <f>IF(TRUE,"PassBecauseNoConstraints","ERROR")</f>
      </c>
      <c r="Q229" s="148"/>
      <c r="R229" s="149"/>
      <c r="S229" s="207">
        <f>IF(TRUE,"","ERROR")</f>
      </c>
      <c r="T229" s="149"/>
      <c r="U229" s="53"/>
      <c r="V229" s="150"/>
      <c r="W229" s="255"/>
      <c r="X229" s="150"/>
      <c r="Y229" s="22"/>
    </row>
    <row r="230" spans="1:25" ht="15" hidden="1">
      <c r="A230" s="22"/>
      <c r="B230" s="142"/>
      <c r="C230" s="226"/>
      <c r="D230" s="142"/>
      <c r="E230" s="144"/>
      <c r="F230" s="145"/>
      <c r="G230" s="144"/>
      <c r="H230" s="25"/>
      <c r="I230" s="146"/>
      <c r="J230" s="25"/>
      <c r="K230" s="147"/>
      <c r="L230" s="24"/>
      <c r="M230" s="145"/>
      <c r="N230" s="147"/>
      <c r="O230" s="148"/>
      <c r="P230" s="24"/>
      <c r="Q230" s="148"/>
      <c r="R230" s="149"/>
      <c r="S230" s="146"/>
      <c r="T230" s="149"/>
      <c r="U230" s="53"/>
      <c r="V230" s="150"/>
      <c r="W230" s="255"/>
      <c r="X230" s="150"/>
      <c r="Y230" s="22"/>
    </row>
    <row r="231" spans="1:25" ht="15" customHeight="1">
      <c r="A231" s="22"/>
      <c r="B231" s="142"/>
      <c r="C231" s="201"/>
      <c r="D231" s="142"/>
      <c r="E231" s="144"/>
      <c r="F231" s="145"/>
      <c r="G231" s="144"/>
      <c r="H231" s="25"/>
      <c r="I231" s="146"/>
      <c r="J231" s="25"/>
      <c r="K231" s="147"/>
      <c r="L231" s="24"/>
      <c r="M231" s="145"/>
      <c r="N231" s="147"/>
      <c r="O231" s="148"/>
      <c r="P231" s="24"/>
      <c r="Q231" s="148"/>
      <c r="R231" s="149"/>
      <c r="S231" s="146"/>
      <c r="T231" s="149"/>
      <c r="U231" s="53"/>
      <c r="V231" s="150"/>
      <c r="W231" s="255"/>
      <c r="X231" s="150"/>
      <c r="Y231" s="22"/>
    </row>
    <row r="232" spans="1:25" ht="15" hidden="1">
      <c r="A232" s="22"/>
      <c r="B232" s="142"/>
      <c r="C232" s="201"/>
      <c r="D232" s="142"/>
      <c r="E232" s="144"/>
      <c r="F232" s="145"/>
      <c r="G232" s="144"/>
      <c r="H232" s="25"/>
      <c r="I232" s="146"/>
      <c r="J232" s="25"/>
      <c r="K232" s="147"/>
      <c r="L232" s="24"/>
      <c r="M232" s="145"/>
      <c r="N232" s="147"/>
      <c r="O232" s="148"/>
      <c r="P232" s="24"/>
      <c r="Q232" s="148"/>
      <c r="R232" s="149"/>
      <c r="S232" s="146"/>
      <c r="T232" s="149"/>
      <c r="U232" s="53"/>
      <c r="V232" s="150"/>
      <c r="W232" s="255"/>
      <c r="X232" s="150"/>
      <c r="Y232" s="22"/>
    </row>
    <row r="233" spans="1:25" ht="15" customHeight="1">
      <c r="A233" s="22"/>
      <c r="B233" s="142"/>
      <c r="C233" s="201"/>
      <c r="D233" s="142"/>
      <c r="E233" s="144"/>
      <c r="F233" s="145"/>
      <c r="G233" s="144"/>
      <c r="H233" s="25"/>
      <c r="I233" s="146"/>
      <c r="J233" s="25"/>
      <c r="K233" s="147"/>
      <c r="L233" s="24"/>
      <c r="M233" s="145"/>
      <c r="N233" s="147"/>
      <c r="O233" s="148"/>
      <c r="P233" s="24"/>
      <c r="Q233" s="148"/>
      <c r="R233" s="149"/>
      <c r="S233" s="146"/>
      <c r="T233" s="149"/>
      <c r="U233" s="53"/>
      <c r="V233" s="150"/>
      <c r="W233" s="255"/>
      <c r="X233" s="150"/>
      <c r="Y233" s="22"/>
    </row>
    <row r="234" spans="1:25" ht="15" hidden="1">
      <c r="A234" s="22"/>
      <c r="B234" s="142"/>
      <c r="C234" s="201"/>
      <c r="D234" s="142"/>
      <c r="E234" s="144"/>
      <c r="F234" s="145"/>
      <c r="G234" s="144"/>
      <c r="H234" s="25"/>
      <c r="I234" s="146"/>
      <c r="J234" s="25"/>
      <c r="K234" s="147"/>
      <c r="L234" s="24"/>
      <c r="M234" s="145"/>
      <c r="N234" s="147"/>
      <c r="O234" s="148"/>
      <c r="P234" s="24"/>
      <c r="Q234" s="148"/>
      <c r="R234" s="149"/>
      <c r="S234" s="146"/>
      <c r="T234" s="149"/>
      <c r="U234" s="53"/>
      <c r="V234" s="150"/>
      <c r="W234" s="255"/>
      <c r="X234" s="150"/>
      <c r="Y234" s="22"/>
    </row>
    <row r="235" spans="1:25" ht="15" hidden="1" thickBot="1">
      <c r="A235" s="22"/>
      <c r="B235" s="142"/>
      <c r="C235" s="226"/>
      <c r="D235" s="142"/>
      <c r="E235" s="144"/>
      <c r="F235" s="145"/>
      <c r="G235" s="144"/>
      <c r="H235" s="25"/>
      <c r="I235" s="177"/>
      <c r="J235" s="25"/>
      <c r="K235" s="147"/>
      <c r="L235" s="24"/>
      <c r="M235" s="145"/>
      <c r="N235" s="147"/>
      <c r="O235" s="148"/>
      <c r="P235" s="24"/>
      <c r="Q235" s="148"/>
      <c r="R235" s="149"/>
      <c r="S235" s="146"/>
      <c r="T235" s="149"/>
      <c r="U235" s="53"/>
      <c r="V235" s="150"/>
      <c r="W235" s="255"/>
      <c r="X235" s="150"/>
      <c r="Y235" s="22"/>
    </row>
    <row r="236" spans="1:25" ht="15" thickBot="1">
      <c r="A236" s="22"/>
      <c r="B236" s="142"/>
      <c r="C236" s="227" t="s">
        <v>90</v>
      </c>
      <c r="D236" s="142"/>
      <c r="E236" s="144"/>
      <c r="F236" s="206" t="s">
        <v>66</v>
      </c>
      <c r="G236" s="144"/>
      <c r="H236" s="25"/>
      <c r="I236" s="233">
        <f>'Balance Sheet'!I142</f>
      </c>
      <c r="J236" s="25"/>
      <c r="K236" s="147"/>
      <c r="L236" s="24"/>
      <c r="M236" s="206"/>
      <c r="N236" s="147"/>
      <c r="O236" s="148"/>
      <c r="P236" s="179">
        <f>IF(TRUE,"PassBecauseNoConstraints","ERROR")</f>
      </c>
      <c r="Q236" s="148"/>
      <c r="R236" s="149"/>
      <c r="S236" s="207">
        <f>IF(TRUE,"","ERROR")</f>
      </c>
      <c r="T236" s="149"/>
      <c r="U236" s="53"/>
      <c r="V236" s="150"/>
      <c r="W236" s="255"/>
      <c r="X236" s="150"/>
      <c r="Y236" s="22"/>
    </row>
    <row r="237" spans="1:25" ht="15" thickBot="1">
      <c r="A237" s="22"/>
      <c r="B237" s="142"/>
      <c r="C237" s="227" t="s">
        <v>89</v>
      </c>
      <c r="D237" s="142"/>
      <c r="E237" s="144"/>
      <c r="F237" s="206"/>
      <c r="G237" s="144"/>
      <c r="H237" s="25"/>
      <c r="I237" s="283">
        <f>'Balance Sheet'!I142=I229</f>
      </c>
      <c r="J237" s="25"/>
      <c r="K237" s="147"/>
      <c r="L237" s="24"/>
      <c r="M237" s="206"/>
      <c r="N237" s="147"/>
      <c r="O237" s="148"/>
      <c r="P237" s="179">
        <f>IF(NOT(I237=TRUE),"Fail","Pass")</f>
      </c>
      <c r="Q237" s="148"/>
      <c r="R237" s="149"/>
      <c r="S237" s="207">
        <f>IF(NOT(I237=TRUE),"must be true","")</f>
      </c>
      <c r="T237" s="149"/>
      <c r="U237" s="53"/>
      <c r="V237" s="150"/>
      <c r="W237" s="255"/>
      <c r="X237" s="150"/>
      <c r="Y237" s="22"/>
    </row>
    <row r="238" spans="1:25" ht="15" hidden="1">
      <c r="A238" s="22"/>
      <c r="B238" s="142"/>
      <c r="C238" s="226"/>
      <c r="D238" s="142"/>
      <c r="E238" s="144"/>
      <c r="F238" s="145"/>
      <c r="G238" s="144"/>
      <c r="H238" s="25"/>
      <c r="I238" s="146"/>
      <c r="J238" s="25"/>
      <c r="K238" s="147"/>
      <c r="L238" s="24"/>
      <c r="M238" s="145"/>
      <c r="N238" s="147"/>
      <c r="O238" s="148"/>
      <c r="P238" s="24"/>
      <c r="Q238" s="148"/>
      <c r="R238" s="149"/>
      <c r="S238" s="146"/>
      <c r="T238" s="149"/>
      <c r="U238" s="53"/>
      <c r="V238" s="150"/>
      <c r="W238" s="255"/>
      <c r="X238" s="150"/>
      <c r="Y238" s="22"/>
    </row>
    <row r="239" spans="1:25" ht="15" customHeight="1">
      <c r="A239" s="22"/>
      <c r="B239" s="142"/>
      <c r="C239" s="201"/>
      <c r="D239" s="142"/>
      <c r="E239" s="144"/>
      <c r="F239" s="145"/>
      <c r="G239" s="144"/>
      <c r="H239" s="25"/>
      <c r="I239" s="146"/>
      <c r="J239" s="25"/>
      <c r="K239" s="147"/>
      <c r="L239" s="24"/>
      <c r="M239" s="145"/>
      <c r="N239" s="147"/>
      <c r="O239" s="148"/>
      <c r="P239" s="24"/>
      <c r="Q239" s="148"/>
      <c r="R239" s="149"/>
      <c r="S239" s="146"/>
      <c r="T239" s="149"/>
      <c r="U239" s="53"/>
      <c r="V239" s="150"/>
      <c r="W239" s="255"/>
      <c r="X239" s="150"/>
      <c r="Y239" s="22"/>
    </row>
    <row r="240" spans="1:25" ht="15" hidden="1">
      <c r="A240" s="22"/>
      <c r="B240" s="142"/>
      <c r="C240" s="201"/>
      <c r="D240" s="142"/>
      <c r="E240" s="144"/>
      <c r="F240" s="145"/>
      <c r="G240" s="144"/>
      <c r="H240" s="25"/>
      <c r="I240" s="146"/>
      <c r="J240" s="25"/>
      <c r="K240" s="147"/>
      <c r="L240" s="24"/>
      <c r="M240" s="145"/>
      <c r="N240" s="147"/>
      <c r="O240" s="148"/>
      <c r="P240" s="24"/>
      <c r="Q240" s="148"/>
      <c r="R240" s="149"/>
      <c r="S240" s="146"/>
      <c r="T240" s="149"/>
      <c r="U240" s="53"/>
      <c r="V240" s="150"/>
      <c r="W240" s="255"/>
      <c r="X240" s="150"/>
      <c r="Y240" s="22"/>
    </row>
    <row r="241" spans="1:25" ht="15" hidden="1" thickBot="1">
      <c r="A241" s="22"/>
      <c r="B241" s="142"/>
      <c r="C241" s="226"/>
      <c r="D241" s="142"/>
      <c r="E241" s="144"/>
      <c r="F241" s="145"/>
      <c r="G241" s="144"/>
      <c r="H241" s="25"/>
      <c r="I241" s="177"/>
      <c r="J241" s="25"/>
      <c r="K241" s="147"/>
      <c r="L241" s="24"/>
      <c r="M241" s="145"/>
      <c r="N241" s="147"/>
      <c r="O241" s="148"/>
      <c r="P241" s="24"/>
      <c r="Q241" s="148"/>
      <c r="R241" s="149"/>
      <c r="S241" s="146"/>
      <c r="T241" s="149"/>
      <c r="U241" s="53"/>
      <c r="V241" s="150"/>
      <c r="W241" s="255"/>
      <c r="X241" s="150"/>
      <c r="Y241" s="22"/>
    </row>
    <row r="242" spans="1:25" ht="15" hidden="1" thickBot="1">
      <c r="A242" s="22"/>
      <c r="B242" s="142"/>
      <c r="C242" s="227" t="s">
        <v>88</v>
      </c>
      <c r="D242" s="142"/>
      <c r="E242" s="144"/>
      <c r="F242" s="206" t="s">
        <v>66</v>
      </c>
      <c r="G242" s="144"/>
      <c r="H242" s="25"/>
      <c r="I242" s="244">
        <f>IF(OR('Balance Sheet'!I33="",'Balance Sheet'!I41="",'Balance Sheet'!I50="",'Balance Sheet'!I51=""),"",IF('Balance Sheet'!I33="yes",'Balance Sheet'!I162,""))</f>
      </c>
      <c r="J242" s="25"/>
      <c r="K242" s="147"/>
      <c r="L242" s="24"/>
      <c r="M242" s="206"/>
      <c r="N242" s="147"/>
      <c r="O242" s="148"/>
      <c r="P242" s="179">
        <f>IF(TRUE,"PassBecauseNoConstraints","ERROR")</f>
      </c>
      <c r="Q242" s="148"/>
      <c r="R242" s="149"/>
      <c r="S242" s="207">
        <f>IF(TRUE,"","ERROR")</f>
      </c>
      <c r="T242" s="149"/>
      <c r="U242" s="53"/>
      <c r="V242" s="150"/>
      <c r="W242" s="255"/>
      <c r="X242" s="150"/>
      <c r="Y242" s="22"/>
    </row>
    <row r="243" spans="1:25" ht="15" hidden="1" thickBot="1">
      <c r="A243" s="22"/>
      <c r="B243" s="142"/>
      <c r="C243" s="227" t="s">
        <v>87</v>
      </c>
      <c r="D243" s="142"/>
      <c r="E243" s="144"/>
      <c r="F243" s="206" t="s">
        <v>66</v>
      </c>
      <c r="G243" s="144"/>
      <c r="H243" s="25"/>
      <c r="I243" s="244">
        <f>IF(OR('Balance Sheet'!I33="",'Balance Sheet'!I41="",'Balance Sheet'!I50="",'Balance Sheet'!I51=""),"",IF('Balance Sheet'!I33="yes",('Balance Sheet'!I162*'Balance Sheet'!I160),""))</f>
      </c>
      <c r="J243" s="25"/>
      <c r="K243" s="147"/>
      <c r="L243" s="24"/>
      <c r="M243" s="206"/>
      <c r="N243" s="147"/>
      <c r="O243" s="148"/>
      <c r="P243" s="179">
        <f>IF(TRUE,"PassBecauseNoConstraints","ERROR")</f>
      </c>
      <c r="Q243" s="148"/>
      <c r="R243" s="149"/>
      <c r="S243" s="207">
        <f>IF(TRUE,"","ERROR")</f>
      </c>
      <c r="T243" s="149"/>
      <c r="U243" s="53"/>
      <c r="V243" s="150"/>
      <c r="W243" s="255"/>
      <c r="X243" s="150"/>
      <c r="Y243" s="22"/>
    </row>
    <row r="244" spans="1:25" ht="15" hidden="1">
      <c r="A244" s="22"/>
      <c r="B244" s="142"/>
      <c r="C244" s="226"/>
      <c r="D244" s="142"/>
      <c r="E244" s="144"/>
      <c r="F244" s="145"/>
      <c r="G244" s="144"/>
      <c r="H244" s="25"/>
      <c r="I244" s="146"/>
      <c r="J244" s="25"/>
      <c r="K244" s="147"/>
      <c r="L244" s="24"/>
      <c r="M244" s="145"/>
      <c r="N244" s="147"/>
      <c r="O244" s="148"/>
      <c r="P244" s="24"/>
      <c r="Q244" s="148"/>
      <c r="R244" s="149"/>
      <c r="S244" s="146"/>
      <c r="T244" s="149"/>
      <c r="U244" s="53"/>
      <c r="V244" s="150"/>
      <c r="W244" s="24"/>
      <c r="X244" s="150"/>
      <c r="Y244" s="22"/>
    </row>
    <row r="245" spans="1:25" ht="15" customHeight="1">
      <c r="A245" s="22"/>
      <c r="B245" s="142"/>
      <c r="C245" s="201"/>
      <c r="D245" s="142"/>
      <c r="E245" s="144"/>
      <c r="F245" s="145"/>
      <c r="G245" s="144"/>
      <c r="H245" s="25"/>
      <c r="I245" s="146"/>
      <c r="J245" s="25"/>
      <c r="K245" s="147"/>
      <c r="L245" s="24"/>
      <c r="M245" s="145"/>
      <c r="N245" s="147"/>
      <c r="O245" s="148"/>
      <c r="P245" s="24"/>
      <c r="Q245" s="148"/>
      <c r="R245" s="149"/>
      <c r="S245" s="146"/>
      <c r="T245" s="149"/>
      <c r="U245" s="53"/>
      <c r="V245" s="150"/>
      <c r="W245" s="24"/>
      <c r="X245" s="150"/>
      <c r="Y245" s="22"/>
    </row>
    <row r="246" spans="1:25" ht="15" hidden="1">
      <c r="A246" s="22"/>
      <c r="B246" s="142"/>
      <c r="C246" s="200"/>
      <c r="D246" s="142"/>
      <c r="E246" s="144"/>
      <c r="F246" s="145"/>
      <c r="G246" s="144"/>
      <c r="H246" s="25"/>
      <c r="I246" s="146"/>
      <c r="J246" s="25"/>
      <c r="K246" s="147"/>
      <c r="L246" s="24"/>
      <c r="M246" s="145"/>
      <c r="N246" s="147"/>
      <c r="O246" s="148"/>
      <c r="P246" s="24"/>
      <c r="Q246" s="148"/>
      <c r="R246" s="149"/>
      <c r="S246" s="146"/>
      <c r="T246" s="149"/>
      <c r="U246" s="53"/>
      <c r="V246" s="150"/>
      <c r="W246" s="24"/>
      <c r="X246" s="150"/>
      <c r="Y246" s="22"/>
    </row>
    <row r="247" spans="1:25" ht="15" customHeight="1">
      <c r="A247" s="22"/>
      <c r="B247" s="142"/>
      <c r="C247" s="192"/>
      <c r="D247" s="142"/>
      <c r="E247" s="144"/>
      <c r="F247" s="145"/>
      <c r="G247" s="144"/>
      <c r="H247" s="25"/>
      <c r="I247" s="146"/>
      <c r="J247" s="25"/>
      <c r="K247" s="147"/>
      <c r="L247" s="24"/>
      <c r="M247" s="145"/>
      <c r="N247" s="147"/>
      <c r="O247" s="148"/>
      <c r="P247" s="24"/>
      <c r="Q247" s="148"/>
      <c r="R247" s="149"/>
      <c r="S247" s="146"/>
      <c r="T247" s="149"/>
      <c r="U247" s="53"/>
      <c r="V247" s="150"/>
      <c r="W247" s="24"/>
      <c r="X247" s="150"/>
      <c r="Y247" s="22"/>
    </row>
    <row r="248" spans="1:25" ht="15" hidden="1">
      <c r="A248" s="22"/>
      <c r="B248" s="142"/>
      <c r="C248" s="192"/>
      <c r="D248" s="142"/>
      <c r="E248" s="144"/>
      <c r="F248" s="145"/>
      <c r="G248" s="144"/>
      <c r="H248" s="25"/>
      <c r="I248" s="146"/>
      <c r="J248" s="25"/>
      <c r="K248" s="147"/>
      <c r="L248" s="24"/>
      <c r="M248" s="145"/>
      <c r="N248" s="147"/>
      <c r="O248" s="148"/>
      <c r="P248" s="24"/>
      <c r="Q248" s="148"/>
      <c r="R248" s="149"/>
      <c r="S248" s="146"/>
      <c r="T248" s="149"/>
      <c r="U248" s="53"/>
      <c r="V248" s="150"/>
      <c r="W248" s="24"/>
      <c r="X248" s="150"/>
      <c r="Y248" s="22"/>
    </row>
    <row r="249" spans="1:25" ht="15" hidden="1">
      <c r="A249" s="22"/>
      <c r="B249" s="142"/>
      <c r="C249" s="193"/>
      <c r="D249" s="142"/>
      <c r="E249" s="144"/>
      <c r="F249" s="145"/>
      <c r="G249" s="144"/>
      <c r="H249" s="25"/>
      <c r="I249" s="146"/>
      <c r="J249" s="25"/>
      <c r="K249" s="147"/>
      <c r="L249" s="24"/>
      <c r="M249" s="145"/>
      <c r="N249" s="147"/>
      <c r="O249" s="148"/>
      <c r="P249" s="24"/>
      <c r="Q249" s="148"/>
      <c r="R249" s="149"/>
      <c r="S249" s="146"/>
      <c r="T249" s="149"/>
      <c r="U249" s="53"/>
      <c r="V249" s="150"/>
      <c r="W249" s="24"/>
      <c r="X249" s="150"/>
      <c r="Y249" s="22"/>
    </row>
    <row r="250" spans="1:25" ht="21">
      <c r="A250" s="22"/>
      <c r="B250" s="142"/>
      <c r="C250" s="166" t="s">
        <v>23</v>
      </c>
      <c r="D250" s="142"/>
      <c r="E250" s="144"/>
      <c r="F250" s="145"/>
      <c r="G250" s="144"/>
      <c r="H250" s="25"/>
      <c r="I250" s="146"/>
      <c r="J250" s="25"/>
      <c r="K250" s="147"/>
      <c r="L250" s="24"/>
      <c r="M250" s="145"/>
      <c r="N250" s="147"/>
      <c r="O250" s="148"/>
      <c r="P250" s="24"/>
      <c r="Q250" s="148"/>
      <c r="R250" s="149"/>
      <c r="S250" s="146"/>
      <c r="T250" s="149"/>
      <c r="U250" s="53"/>
      <c r="V250" s="150"/>
      <c r="W250" s="24"/>
      <c r="X250" s="150"/>
      <c r="Y250" s="22"/>
    </row>
    <row r="251" spans="1:25" ht="7.5" customHeight="1">
      <c r="A251" s="22"/>
      <c r="B251" s="142"/>
      <c r="C251" s="193"/>
      <c r="D251" s="142"/>
      <c r="E251" s="144"/>
      <c r="F251" s="145"/>
      <c r="G251" s="144"/>
      <c r="H251" s="25"/>
      <c r="I251" s="146"/>
      <c r="J251" s="25"/>
      <c r="K251" s="147"/>
      <c r="L251" s="24"/>
      <c r="M251" s="145"/>
      <c r="N251" s="147"/>
      <c r="O251" s="148"/>
      <c r="P251" s="24"/>
      <c r="Q251" s="148"/>
      <c r="R251" s="149"/>
      <c r="S251" s="146"/>
      <c r="T251" s="149"/>
      <c r="U251" s="53"/>
      <c r="V251" s="150"/>
      <c r="W251" s="24"/>
      <c r="X251" s="150"/>
      <c r="Y251" s="22"/>
    </row>
    <row r="252" spans="1:25" ht="15" hidden="1">
      <c r="A252" s="22"/>
      <c r="B252" s="142"/>
      <c r="C252" s="194"/>
      <c r="D252" s="142"/>
      <c r="E252" s="144"/>
      <c r="F252" s="145"/>
      <c r="G252" s="144"/>
      <c r="H252" s="25"/>
      <c r="I252" s="146"/>
      <c r="J252" s="25"/>
      <c r="K252" s="147"/>
      <c r="L252" s="24"/>
      <c r="M252" s="145"/>
      <c r="N252" s="147"/>
      <c r="O252" s="148"/>
      <c r="P252" s="24"/>
      <c r="Q252" s="148"/>
      <c r="R252" s="149"/>
      <c r="S252" s="146"/>
      <c r="T252" s="149"/>
      <c r="U252" s="53"/>
      <c r="V252" s="150"/>
      <c r="W252" s="24"/>
      <c r="X252" s="150"/>
      <c r="Y252" s="22"/>
    </row>
    <row r="253" spans="1:25" ht="15" customHeight="1">
      <c r="A253" s="22"/>
      <c r="B253" s="142"/>
      <c r="C253" s="195" t="s">
        <v>86</v>
      </c>
      <c r="D253" s="196"/>
      <c r="E253" s="196"/>
      <c r="F253" s="197"/>
      <c r="G253" s="196"/>
      <c r="H253" s="196"/>
      <c r="I253" s="198"/>
      <c r="J253" s="196"/>
      <c r="K253" s="196"/>
      <c r="L253" s="199"/>
      <c r="M253" s="197"/>
      <c r="N253" s="196"/>
      <c r="O253" s="196"/>
      <c r="P253" s="199"/>
      <c r="Q253" s="196"/>
      <c r="R253" s="196"/>
      <c r="S253" s="198"/>
      <c r="T253" s="149"/>
      <c r="U253" s="53"/>
      <c r="V253" s="150"/>
      <c r="W253" s="24"/>
      <c r="X253" s="150"/>
      <c r="Y253" s="22"/>
    </row>
    <row r="254" spans="1:25" ht="15" customHeight="1">
      <c r="A254" s="22"/>
      <c r="B254" s="142"/>
      <c r="C254" s="245" t="s">
        <v>20</v>
      </c>
      <c r="D254" s="246"/>
      <c r="E254" s="246"/>
      <c r="F254" s="247"/>
      <c r="G254" s="246"/>
      <c r="H254" s="246"/>
      <c r="I254" s="248"/>
      <c r="J254" s="246"/>
      <c r="K254" s="246"/>
      <c r="L254" s="249"/>
      <c r="M254" s="247"/>
      <c r="N254" s="246"/>
      <c r="O254" s="246"/>
      <c r="P254" s="249"/>
      <c r="Q254" s="246"/>
      <c r="R254" s="246"/>
      <c r="S254" s="248"/>
      <c r="T254" s="149"/>
      <c r="U254" s="53"/>
      <c r="V254" s="150"/>
      <c r="W254" s="24"/>
      <c r="X254" s="150"/>
      <c r="Y254" s="22"/>
    </row>
    <row r="255" spans="1:25" ht="15" customHeight="1">
      <c r="A255" s="22"/>
      <c r="B255" s="142"/>
      <c r="C255" s="250" t="s">
        <v>85</v>
      </c>
      <c r="D255" s="251"/>
      <c r="E255" s="251"/>
      <c r="F255" s="252"/>
      <c r="G255" s="251"/>
      <c r="H255" s="251"/>
      <c r="I255" s="253"/>
      <c r="J255" s="251"/>
      <c r="K255" s="251"/>
      <c r="L255" s="254"/>
      <c r="M255" s="252"/>
      <c r="N255" s="251"/>
      <c r="O255" s="251"/>
      <c r="P255" s="254"/>
      <c r="Q255" s="251"/>
      <c r="R255" s="251"/>
      <c r="S255" s="253"/>
      <c r="T255" s="149"/>
      <c r="U255" s="53"/>
      <c r="V255" s="150"/>
      <c r="W255" s="24"/>
      <c r="X255" s="150"/>
      <c r="Y255" s="22"/>
    </row>
    <row r="256" spans="1:25" ht="15" customHeight="1">
      <c r="A256" s="22"/>
      <c r="B256" s="142"/>
      <c r="C256" s="194"/>
      <c r="D256" s="142"/>
      <c r="E256" s="144"/>
      <c r="F256" s="145"/>
      <c r="G256" s="144"/>
      <c r="H256" s="25"/>
      <c r="I256" s="146"/>
      <c r="J256" s="25"/>
      <c r="K256" s="147"/>
      <c r="L256" s="24"/>
      <c r="M256" s="145"/>
      <c r="N256" s="147"/>
      <c r="O256" s="148"/>
      <c r="P256" s="24"/>
      <c r="Q256" s="148"/>
      <c r="R256" s="149"/>
      <c r="S256" s="146"/>
      <c r="T256" s="149"/>
      <c r="U256" s="53"/>
      <c r="V256" s="150"/>
      <c r="W256" s="24"/>
      <c r="X256" s="150"/>
      <c r="Y256" s="22"/>
    </row>
    <row r="257" spans="1:25" ht="15" customHeight="1">
      <c r="A257" s="22"/>
      <c r="B257" s="142"/>
      <c r="C257" s="192"/>
      <c r="D257" s="142"/>
      <c r="E257" s="144"/>
      <c r="F257" s="145"/>
      <c r="G257" s="144"/>
      <c r="H257" s="25"/>
      <c r="I257" s="146"/>
      <c r="J257" s="25"/>
      <c r="K257" s="147"/>
      <c r="L257" s="24"/>
      <c r="M257" s="145"/>
      <c r="N257" s="147"/>
      <c r="O257" s="148"/>
      <c r="P257" s="24"/>
      <c r="Q257" s="148"/>
      <c r="R257" s="149"/>
      <c r="S257" s="146"/>
      <c r="T257" s="149"/>
      <c r="U257" s="53"/>
      <c r="V257" s="150"/>
      <c r="W257" s="24"/>
      <c r="X257" s="150"/>
      <c r="Y257" s="22"/>
    </row>
    <row r="258" spans="1:25" ht="15" hidden="1">
      <c r="A258" s="22"/>
      <c r="B258" s="142"/>
      <c r="C258" s="191"/>
      <c r="D258" s="142"/>
      <c r="E258" s="144"/>
      <c r="F258" s="145"/>
      <c r="G258" s="144"/>
      <c r="H258" s="25"/>
      <c r="I258" s="146"/>
      <c r="J258" s="25"/>
      <c r="K258" s="147"/>
      <c r="L258" s="24"/>
      <c r="M258" s="145"/>
      <c r="N258" s="147"/>
      <c r="O258" s="148"/>
      <c r="P258" s="24"/>
      <c r="Q258" s="148"/>
      <c r="R258" s="149"/>
      <c r="S258" s="146"/>
      <c r="T258" s="149"/>
      <c r="U258" s="53"/>
      <c r="V258" s="150"/>
      <c r="W258" s="24"/>
      <c r="X258" s="150"/>
      <c r="Y258" s="22"/>
    </row>
    <row r="259" spans="1:25" ht="37.5" customHeight="1">
      <c r="A259" s="22" t="s">
        <v>17</v>
      </c>
      <c r="B259" s="22" t="s">
        <v>17</v>
      </c>
      <c r="C259" s="22" t="s">
        <v>17</v>
      </c>
      <c r="D259" s="22" t="s">
        <v>17</v>
      </c>
      <c r="E259" s="22" t="s">
        <v>17</v>
      </c>
      <c r="F259" s="22" t="s">
        <v>17</v>
      </c>
      <c r="G259" s="22" t="s">
        <v>17</v>
      </c>
      <c r="H259" s="22" t="s">
        <v>17</v>
      </c>
      <c r="I259" s="22" t="s">
        <v>17</v>
      </c>
      <c r="J259" s="22" t="s">
        <v>17</v>
      </c>
      <c r="K259" s="22" t="s">
        <v>17</v>
      </c>
      <c r="L259" s="22" t="s">
        <v>17</v>
      </c>
      <c r="M259" s="22" t="s">
        <v>17</v>
      </c>
      <c r="N259" s="22" t="s">
        <v>17</v>
      </c>
      <c r="O259" s="22" t="s">
        <v>17</v>
      </c>
      <c r="P259" s="22" t="s">
        <v>17</v>
      </c>
      <c r="Q259" s="22" t="s">
        <v>17</v>
      </c>
      <c r="R259" s="22" t="s">
        <v>17</v>
      </c>
      <c r="S259" s="22" t="s">
        <v>17</v>
      </c>
      <c r="T259" s="22" t="s">
        <v>17</v>
      </c>
      <c r="U259" s="22" t="s">
        <v>17</v>
      </c>
      <c r="V259" s="22" t="s">
        <v>17</v>
      </c>
      <c r="W259" s="22" t="s">
        <v>17</v>
      </c>
      <c r="X259" s="22" t="s">
        <v>17</v>
      </c>
      <c r="Y259" s="22" t="s">
        <v>17</v>
      </c>
    </row>
  </sheetData>
  <sheetProtection password="F7F9" sheet="1" objects="1" scenarios="1"/>
  <mergeCells count="80">
    <mergeCell ref="A1:Y1"/>
    <mergeCell ref="A259:Y259"/>
    <mergeCell ref="C3:S3"/>
    <mergeCell ref="C10:S10"/>
    <mergeCell ref="C11:S11"/>
    <mergeCell ref="C12:S12"/>
    <mergeCell ref="C14:S14"/>
    <mergeCell ref="L25:M25"/>
    <mergeCell ref="L26:M26"/>
    <mergeCell ref="L27:M27"/>
    <mergeCell ref="L28:M28"/>
    <mergeCell ref="L31:M31"/>
    <mergeCell ref="C41:S41"/>
    <mergeCell ref="C42:S42"/>
    <mergeCell ref="C43:S43"/>
    <mergeCell ref="L48:M48"/>
    <mergeCell ref="L49:M49"/>
    <mergeCell ref="L50:M50"/>
    <mergeCell ref="L51:M51"/>
    <mergeCell ref="L54:M54"/>
    <mergeCell ref="C64:S64"/>
    <mergeCell ref="L69:M69"/>
    <mergeCell ref="L70:M70"/>
    <mergeCell ref="L73:M73"/>
    <mergeCell ref="L78:M78"/>
    <mergeCell ref="L79:M79"/>
    <mergeCell ref="L80:M80"/>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4:M114"/>
    <mergeCell ref="L122:M122"/>
    <mergeCell ref="L123:M123"/>
    <mergeCell ref="L124:M124"/>
    <mergeCell ref="L125:M125"/>
    <mergeCell ref="L126:M126"/>
    <mergeCell ref="L129:M129"/>
    <mergeCell ref="L134:M134"/>
    <mergeCell ref="L146:M146"/>
    <mergeCell ref="L147:M147"/>
    <mergeCell ref="L148:M148"/>
    <mergeCell ref="L149:M149"/>
    <mergeCell ref="L152:M152"/>
    <mergeCell ref="L164:M164"/>
    <mergeCell ref="L165:M165"/>
    <mergeCell ref="L166:M166"/>
    <mergeCell ref="L167:M167"/>
    <mergeCell ref="L168:M168"/>
    <mergeCell ref="L169:M169"/>
    <mergeCell ref="L170:M170"/>
    <mergeCell ref="L171:M171"/>
    <mergeCell ref="L172:M172"/>
    <mergeCell ref="L173:M173"/>
    <mergeCell ref="L178:M178"/>
    <mergeCell ref="L183:M183"/>
    <mergeCell ref="L188:M188"/>
    <mergeCell ref="L203:M203"/>
    <mergeCell ref="L214:M214"/>
    <mergeCell ref="L215:M215"/>
    <mergeCell ref="L216:M216"/>
    <mergeCell ref="L219:M219"/>
    <mergeCell ref="L224:M224"/>
    <mergeCell ref="L229:M229"/>
    <mergeCell ref="L236:M236"/>
    <mergeCell ref="L237:M237"/>
    <mergeCell ref="L242:M242"/>
    <mergeCell ref="L243:M243"/>
    <mergeCell ref="C253:S253"/>
    <mergeCell ref="C254:S254"/>
    <mergeCell ref="C255:S255"/>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26">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27">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28">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1">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8">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49">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0">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1">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54">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9">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70">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7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78">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9">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0">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99">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100">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101">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102">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103">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104">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105">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106">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107">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108">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4">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22">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23">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24">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25">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26">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29">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34">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46">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47">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48">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49">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52">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4">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5">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66">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67">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68">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69">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70">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71">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conditionalFormatting sqref="P172">
    <cfRule type="cellIs" priority="206" dxfId="1" operator="equal" stopIfTrue="1">
      <formula>"Fail"</formula>
    </cfRule>
    <cfRule type="cellIs" priority="207" dxfId="2" operator="equal" stopIfTrue="1">
      <formula>"Pass"</formula>
    </cfRule>
    <cfRule type="cellIs" priority="208" dxfId="3" operator="equal" stopIfTrue="1">
      <formula>"PassBecauseBlankAllowed"</formula>
    </cfRule>
    <cfRule type="cellIs" priority="209" dxfId="4" operator="equal" stopIfTrue="1">
      <formula>"PassBecauseNoConstraints"</formula>
    </cfRule>
  </conditionalFormatting>
  <conditionalFormatting sqref="P173">
    <cfRule type="cellIs" priority="210" dxfId="1" operator="equal" stopIfTrue="1">
      <formula>"Fail"</formula>
    </cfRule>
    <cfRule type="cellIs" priority="211" dxfId="2" operator="equal" stopIfTrue="1">
      <formula>"Pass"</formula>
    </cfRule>
    <cfRule type="cellIs" priority="212" dxfId="3" operator="equal" stopIfTrue="1">
      <formula>"PassBecauseBlankAllowed"</formula>
    </cfRule>
    <cfRule type="cellIs" priority="213" dxfId="4" operator="equal" stopIfTrue="1">
      <formula>"PassBecauseNoConstraints"</formula>
    </cfRule>
  </conditionalFormatting>
  <conditionalFormatting sqref="P178">
    <cfRule type="cellIs" priority="214" dxfId="1" operator="equal" stopIfTrue="1">
      <formula>"Fail"</formula>
    </cfRule>
    <cfRule type="cellIs" priority="215" dxfId="2" operator="equal" stopIfTrue="1">
      <formula>"Pass"</formula>
    </cfRule>
    <cfRule type="cellIs" priority="216" dxfId="3" operator="equal" stopIfTrue="1">
      <formula>"PassBecauseBlankAllowed"</formula>
    </cfRule>
    <cfRule type="cellIs" priority="217" dxfId="4" operator="equal" stopIfTrue="1">
      <formula>"PassBecauseNoConstraints"</formula>
    </cfRule>
  </conditionalFormatting>
  <conditionalFormatting sqref="P183">
    <cfRule type="cellIs" priority="218" dxfId="1" operator="equal" stopIfTrue="1">
      <formula>"Fail"</formula>
    </cfRule>
    <cfRule type="cellIs" priority="219" dxfId="2" operator="equal" stopIfTrue="1">
      <formula>"Pass"</formula>
    </cfRule>
    <cfRule type="cellIs" priority="220" dxfId="3" operator="equal" stopIfTrue="1">
      <formula>"PassBecauseBlankAllowed"</formula>
    </cfRule>
    <cfRule type="cellIs" priority="221" dxfId="4" operator="equal" stopIfTrue="1">
      <formula>"PassBecauseNoConstraints"</formula>
    </cfRule>
  </conditionalFormatting>
  <conditionalFormatting sqref="P188">
    <cfRule type="cellIs" priority="222" dxfId="1" operator="equal" stopIfTrue="1">
      <formula>"Fail"</formula>
    </cfRule>
    <cfRule type="cellIs" priority="223" dxfId="2" operator="equal" stopIfTrue="1">
      <formula>"Pass"</formula>
    </cfRule>
    <cfRule type="cellIs" priority="224" dxfId="3" operator="equal" stopIfTrue="1">
      <formula>"PassBecauseBlankAllowed"</formula>
    </cfRule>
    <cfRule type="cellIs" priority="225" dxfId="4" operator="equal" stopIfTrue="1">
      <formula>"PassBecauseNoConstraints"</formula>
    </cfRule>
  </conditionalFormatting>
  <conditionalFormatting sqref="P203">
    <cfRule type="cellIs" priority="226" dxfId="1" operator="equal" stopIfTrue="1">
      <formula>"Fail"</formula>
    </cfRule>
    <cfRule type="cellIs" priority="227" dxfId="2" operator="equal" stopIfTrue="1">
      <formula>"Pass"</formula>
    </cfRule>
    <cfRule type="cellIs" priority="228" dxfId="3" operator="equal" stopIfTrue="1">
      <formula>"PassBecauseBlankAllowed"</formula>
    </cfRule>
    <cfRule type="cellIs" priority="229" dxfId="4" operator="equal" stopIfTrue="1">
      <formula>"PassBecauseNoConstraints"</formula>
    </cfRule>
  </conditionalFormatting>
  <conditionalFormatting sqref="P214">
    <cfRule type="cellIs" priority="230" dxfId="1" operator="equal" stopIfTrue="1">
      <formula>"Fail"</formula>
    </cfRule>
    <cfRule type="cellIs" priority="231" dxfId="2" operator="equal" stopIfTrue="1">
      <formula>"Pass"</formula>
    </cfRule>
    <cfRule type="cellIs" priority="232" dxfId="3" operator="equal" stopIfTrue="1">
      <formula>"PassBecauseBlankAllowed"</formula>
    </cfRule>
    <cfRule type="cellIs" priority="233" dxfId="4" operator="equal" stopIfTrue="1">
      <formula>"PassBecauseNoConstraints"</formula>
    </cfRule>
  </conditionalFormatting>
  <conditionalFormatting sqref="P215">
    <cfRule type="cellIs" priority="234" dxfId="1" operator="equal" stopIfTrue="1">
      <formula>"Fail"</formula>
    </cfRule>
    <cfRule type="cellIs" priority="235" dxfId="2" operator="equal" stopIfTrue="1">
      <formula>"Pass"</formula>
    </cfRule>
    <cfRule type="cellIs" priority="236" dxfId="3" operator="equal" stopIfTrue="1">
      <formula>"PassBecauseBlankAllowed"</formula>
    </cfRule>
    <cfRule type="cellIs" priority="237" dxfId="4" operator="equal" stopIfTrue="1">
      <formula>"PassBecauseNoConstraints"</formula>
    </cfRule>
  </conditionalFormatting>
  <conditionalFormatting sqref="P216">
    <cfRule type="cellIs" priority="238" dxfId="1" operator="equal" stopIfTrue="1">
      <formula>"Fail"</formula>
    </cfRule>
    <cfRule type="cellIs" priority="239" dxfId="2" operator="equal" stopIfTrue="1">
      <formula>"Pass"</formula>
    </cfRule>
    <cfRule type="cellIs" priority="240" dxfId="3" operator="equal" stopIfTrue="1">
      <formula>"PassBecauseBlankAllowed"</formula>
    </cfRule>
    <cfRule type="cellIs" priority="241" dxfId="4" operator="equal" stopIfTrue="1">
      <formula>"PassBecauseNoConstraints"</formula>
    </cfRule>
  </conditionalFormatting>
  <conditionalFormatting sqref="P219">
    <cfRule type="cellIs" priority="242" dxfId="1" operator="equal" stopIfTrue="1">
      <formula>"Fail"</formula>
    </cfRule>
    <cfRule type="cellIs" priority="243" dxfId="2" operator="equal" stopIfTrue="1">
      <formula>"Pass"</formula>
    </cfRule>
    <cfRule type="cellIs" priority="244" dxfId="3" operator="equal" stopIfTrue="1">
      <formula>"PassBecauseBlankAllowed"</formula>
    </cfRule>
    <cfRule type="cellIs" priority="245" dxfId="4" operator="equal" stopIfTrue="1">
      <formula>"PassBecauseNoConstraints"</formula>
    </cfRule>
  </conditionalFormatting>
  <conditionalFormatting sqref="P224">
    <cfRule type="cellIs" priority="246" dxfId="1" operator="equal" stopIfTrue="1">
      <formula>"Fail"</formula>
    </cfRule>
    <cfRule type="cellIs" priority="247" dxfId="2" operator="equal" stopIfTrue="1">
      <formula>"Pass"</formula>
    </cfRule>
    <cfRule type="cellIs" priority="248" dxfId="3" operator="equal" stopIfTrue="1">
      <formula>"PassBecauseBlankAllowed"</formula>
    </cfRule>
    <cfRule type="cellIs" priority="249" dxfId="4" operator="equal" stopIfTrue="1">
      <formula>"PassBecauseNoConstraints"</formula>
    </cfRule>
  </conditionalFormatting>
  <conditionalFormatting sqref="P229">
    <cfRule type="cellIs" priority="250" dxfId="1" operator="equal" stopIfTrue="1">
      <formula>"Fail"</formula>
    </cfRule>
    <cfRule type="cellIs" priority="251" dxfId="2" operator="equal" stopIfTrue="1">
      <formula>"Pass"</formula>
    </cfRule>
    <cfRule type="cellIs" priority="252" dxfId="3" operator="equal" stopIfTrue="1">
      <formula>"PassBecauseBlankAllowed"</formula>
    </cfRule>
    <cfRule type="cellIs" priority="253" dxfId="4" operator="equal" stopIfTrue="1">
      <formula>"PassBecauseNoConstraints"</formula>
    </cfRule>
  </conditionalFormatting>
  <conditionalFormatting sqref="P236">
    <cfRule type="cellIs" priority="254" dxfId="1" operator="equal" stopIfTrue="1">
      <formula>"Fail"</formula>
    </cfRule>
    <cfRule type="cellIs" priority="255" dxfId="2" operator="equal" stopIfTrue="1">
      <formula>"Pass"</formula>
    </cfRule>
    <cfRule type="cellIs" priority="256" dxfId="3" operator="equal" stopIfTrue="1">
      <formula>"PassBecauseBlankAllowed"</formula>
    </cfRule>
    <cfRule type="cellIs" priority="257" dxfId="4" operator="equal" stopIfTrue="1">
      <formula>"PassBecauseNoConstraints"</formula>
    </cfRule>
  </conditionalFormatting>
  <conditionalFormatting sqref="P237">
    <cfRule type="cellIs" priority="258" dxfId="1" operator="equal" stopIfTrue="1">
      <formula>"Fail"</formula>
    </cfRule>
    <cfRule type="cellIs" priority="259" dxfId="2" operator="equal" stopIfTrue="1">
      <formula>"Pass"</formula>
    </cfRule>
    <cfRule type="cellIs" priority="260" dxfId="3" operator="equal" stopIfTrue="1">
      <formula>"PassBecauseBlankAllowed"</formula>
    </cfRule>
    <cfRule type="cellIs" priority="261" dxfId="4" operator="equal" stopIfTrue="1">
      <formula>"PassBecauseNoConstraints"</formula>
    </cfRule>
  </conditionalFormatting>
  <conditionalFormatting sqref="P242">
    <cfRule type="cellIs" priority="262" dxfId="1" operator="equal" stopIfTrue="1">
      <formula>"Fail"</formula>
    </cfRule>
    <cfRule type="cellIs" priority="263" dxfId="2" operator="equal" stopIfTrue="1">
      <formula>"Pass"</formula>
    </cfRule>
    <cfRule type="cellIs" priority="264" dxfId="3" operator="equal" stopIfTrue="1">
      <formula>"PassBecauseBlankAllowed"</formula>
    </cfRule>
    <cfRule type="cellIs" priority="265" dxfId="4" operator="equal" stopIfTrue="1">
      <formula>"PassBecauseNoConstraints"</formula>
    </cfRule>
  </conditionalFormatting>
  <conditionalFormatting sqref="P243">
    <cfRule type="cellIs" priority="266" dxfId="1" operator="equal" stopIfTrue="1">
      <formula>"Fail"</formula>
    </cfRule>
    <cfRule type="cellIs" priority="267" dxfId="2" operator="equal" stopIfTrue="1">
      <formula>"Pass"</formula>
    </cfRule>
    <cfRule type="cellIs" priority="268" dxfId="3" operator="equal" stopIfTrue="1">
      <formula>"PassBecauseBlankAllowed"</formula>
    </cfRule>
    <cfRule type="cellIs" priority="269" dxfId="4" operator="equal" stopIfTrue="1">
      <formula>"PassBecauseNoConstraints"</formula>
    </cfRule>
  </conditionalFormatting>
  <dataValidations count="66">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26">
      <formula1>-999999999999</formula1>
    </dataValidation>
    <dataValidation type="decimal" operator="notEqual" allowBlank="1" showErrorMessage="1" errorTitle="Oops!" error="Please enter a number." sqref="I27">
      <formula1>-999999999999</formula1>
    </dataValidation>
    <dataValidation type="decimal" operator="notEqual" allowBlank="1" showErrorMessage="1" errorTitle="Oops!" error="Please enter a number." sqref="I28">
      <formula1>-999999999999</formula1>
    </dataValidation>
    <dataValidation type="decimal" operator="notEqual" allowBlank="1" showErrorMessage="1" errorTitle="Oops!" error="Please enter a number." sqref="I31">
      <formula1>-999999999999</formula1>
    </dataValidation>
    <dataValidation type="decimal" operator="notEqual" allowBlank="1" showErrorMessage="1" errorTitle="Oops!" error="Please enter a number." sqref="I48">
      <formula1>-999999999999</formula1>
    </dataValidation>
    <dataValidation type="decimal" operator="notEqual" allowBlank="1" showErrorMessage="1" errorTitle="Oops!" error="Please enter a number." sqref="I49">
      <formula1>-999999999999</formula1>
    </dataValidation>
    <dataValidation type="decimal" operator="notEqual" allowBlank="1" showErrorMessage="1" errorTitle="Oops!" error="Please enter a number." sqref="I50">
      <formula1>-999999999999</formula1>
    </dataValidation>
    <dataValidation type="decimal" operator="notEqual" allowBlank="1" showErrorMessage="1" errorTitle="Oops!" error="Please enter a number." sqref="I51">
      <formula1>-999999999999</formula1>
    </dataValidation>
    <dataValidation type="decimal" operator="notEqual" allowBlank="1" showErrorMessage="1" errorTitle="Oops!" error="Please enter a number." sqref="I54">
      <formula1>-999999999999</formula1>
    </dataValidation>
    <dataValidation type="decimal" operator="notEqual" allowBlank="1" showErrorMessage="1" errorTitle="Oops!" error="Please enter a number." sqref="I69">
      <formula1>-999999999999</formula1>
    </dataValidation>
    <dataValidation type="decimal" operator="notEqual" allowBlank="1" showErrorMessage="1" errorTitle="Oops!" error="Please enter a number." sqref="I70">
      <formula1>-999999999999</formula1>
    </dataValidation>
    <dataValidation type="decimal" operator="notEqual" allowBlank="1" showErrorMessage="1" errorTitle="Oops!" error="Please enter a number." sqref="I73">
      <formula1>-999999999999</formula1>
    </dataValidation>
    <dataValidation type="decimal" operator="notEqual" allowBlank="1" showErrorMessage="1" errorTitle="Oops!" error="Please enter a number." sqref="I78">
      <formula1>-999999999999</formula1>
    </dataValidation>
    <dataValidation type="decimal" operator="notEqual" allowBlank="1" showErrorMessage="1" errorTitle="Oops!" error="Please enter a number." sqref="I79">
      <formula1>-999999999999</formula1>
    </dataValidation>
    <dataValidation type="decimal" operator="notEqual" allowBlank="1" showErrorMessage="1" errorTitle="Oops!" error="Please enter a number." sqref="I80">
      <formula1>-999999999999</formula1>
    </dataValidation>
    <dataValidation type="decimal" operator="notEqual" allowBlank="1" showErrorMessage="1" errorTitle="Oops!" error="Please enter a number." sqref="I99">
      <formula1>-999999999999</formula1>
    </dataValidation>
    <dataValidation type="decimal" operator="notEqual" allowBlank="1" showErrorMessage="1" errorTitle="Oops!" error="Please enter a number." sqref="I100">
      <formula1>-999999999999</formula1>
    </dataValidation>
    <dataValidation type="decimal" operator="notEqual" allowBlank="1" showErrorMessage="1" errorTitle="Oops!" error="Please enter a number." sqref="I101">
      <formula1>-999999999999</formula1>
    </dataValidation>
    <dataValidation type="decimal" operator="notEqual" allowBlank="1" showErrorMessage="1" errorTitle="Oops!" error="Please enter a number." sqref="I102">
      <formula1>-999999999999</formula1>
    </dataValidation>
    <dataValidation type="decimal" operator="notEqual" allowBlank="1" showErrorMessage="1" errorTitle="Oops!" error="Please enter a number." sqref="I103">
      <formula1>-999999999999</formula1>
    </dataValidation>
    <dataValidation type="decimal" operator="notEqual" allowBlank="1" showErrorMessage="1" errorTitle="Oops!" error="Please enter a number." sqref="I104">
      <formula1>-999999999999</formula1>
    </dataValidation>
    <dataValidation type="decimal" operator="notEqual" allowBlank="1" showErrorMessage="1" errorTitle="Oops!" error="Please enter a number." sqref="I105">
      <formula1>-999999999999</formula1>
    </dataValidation>
    <dataValidation type="decimal" operator="notEqual" allowBlank="1" showErrorMessage="1" errorTitle="Oops!" error="Please enter a number." sqref="I106">
      <formula1>-999999999999</formula1>
    </dataValidation>
    <dataValidation type="decimal" operator="notEqual" allowBlank="1" showErrorMessage="1" errorTitle="Oops!" error="Please enter a number." sqref="I107">
      <formula1>-999999999999</formula1>
    </dataValidation>
    <dataValidation type="decimal" operator="notEqual" allowBlank="1" showErrorMessage="1" errorTitle="Oops!" error="Please enter a number." sqref="I108">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22">
      <formula1>-999999999999</formula1>
    </dataValidation>
    <dataValidation type="decimal" operator="notEqual" allowBlank="1" showErrorMessage="1" errorTitle="Oops!" error="Please enter a number." sqref="I123">
      <formula1>-999999999999</formula1>
    </dataValidation>
    <dataValidation type="decimal" operator="notEqual" allowBlank="1" showErrorMessage="1" errorTitle="Oops!" error="Please enter a number." sqref="I124">
      <formula1>-999999999999</formula1>
    </dataValidation>
    <dataValidation type="decimal" operator="notEqual" allowBlank="1" showErrorMessage="1" errorTitle="Oops!" error="Please enter a number." sqref="I125">
      <formula1>-999999999999</formula1>
    </dataValidation>
    <dataValidation type="decimal" operator="notEqual" allowBlank="1" showErrorMessage="1" errorTitle="Oops!" error="Please enter a number." sqref="I126">
      <formula1>-999999999999</formula1>
    </dataValidation>
    <dataValidation type="decimal" operator="notEqual" allowBlank="1" showErrorMessage="1" errorTitle="Oops!" error="Please enter a number." sqref="I129">
      <formula1>-999999999999</formula1>
    </dataValidation>
    <dataValidation type="decimal" operator="notEqual" allowBlank="1" showErrorMessage="1" errorTitle="Oops!" error="Please enter a number." sqref="I134">
      <formula1>-999999999999</formula1>
    </dataValidation>
    <dataValidation type="decimal" operator="notEqual" allowBlank="1" showErrorMessage="1" errorTitle="Oops!" error="Please enter a number." sqref="I146">
      <formula1>-999999999999</formula1>
    </dataValidation>
    <dataValidation type="decimal" operator="notEqual" allowBlank="1" showErrorMessage="1" errorTitle="Oops!" error="Please enter a number." sqref="I147">
      <formula1>-999999999999</formula1>
    </dataValidation>
    <dataValidation type="decimal" operator="notEqual" allowBlank="1" showErrorMessage="1" errorTitle="Oops!" error="Please enter a number." sqref="I148">
      <formula1>-999999999999</formula1>
    </dataValidation>
    <dataValidation type="decimal" operator="notEqual" allowBlank="1" showErrorMessage="1" errorTitle="Oops!" error="Please enter a number." sqref="I149">
      <formula1>-999999999999</formula1>
    </dataValidation>
    <dataValidation type="decimal" operator="notEqual" allowBlank="1" showErrorMessage="1" errorTitle="Oops!" error="Please enter a number." sqref="I152">
      <formula1>-999999999999</formula1>
    </dataValidation>
    <dataValidation type="decimal" operator="notEqual" allowBlank="1" showErrorMessage="1" errorTitle="Oops!" error="Please enter a number." sqref="I164">
      <formula1>-999999999999</formula1>
    </dataValidation>
    <dataValidation type="decimal" operator="notEqual" allowBlank="1" showErrorMessage="1" errorTitle="Oops!" error="Please enter a number." sqref="I165">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69">
      <formula1>-999999999999</formula1>
    </dataValidation>
    <dataValidation type="decimal" operator="notEqual" allowBlank="1" showErrorMessage="1" errorTitle="Oops!" error="Please enter a number." sqref="I170">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2">
      <formula1>-999999999999</formula1>
    </dataValidation>
    <dataValidation type="decimal" operator="notEqual" allowBlank="1" showErrorMessage="1" errorTitle="Oops!" error="Please enter a number." sqref="I173">
      <formula1>-999999999999</formula1>
    </dataValidation>
    <dataValidation type="decimal" operator="notEqual" allowBlank="1" showErrorMessage="1" errorTitle="Oops!" error="Please enter a number." sqref="I178">
      <formula1>-999999999999</formula1>
    </dataValidation>
    <dataValidation type="decimal" operator="notEqual" allowBlank="1" showErrorMessage="1" errorTitle="Oops!" error="Please enter a number." sqref="I183">
      <formula1>-999999999999</formula1>
    </dataValidation>
    <dataValidation type="decimal" operator="notEqual" allowBlank="1" showErrorMessage="1" errorTitle="Oops!" error="Please enter a number." sqref="I188">
      <formula1>-999999999999</formula1>
    </dataValidation>
    <dataValidation type="decimal" operator="notEqual" allowBlank="1" showErrorMessage="1" errorTitle="Oops!" error="Please enter a number." sqref="I203">
      <formula1>-999999999999</formula1>
    </dataValidation>
    <dataValidation type="decimal" operator="notEqual" allowBlank="1" showErrorMessage="1" errorTitle="Oops!" error="Please enter a number." sqref="I214">
      <formula1>-999999999999</formula1>
    </dataValidation>
    <dataValidation type="decimal" operator="notEqual" allowBlank="1" showErrorMessage="1" errorTitle="Oops!" error="Please enter a number." sqref="I215">
      <formula1>-999999999999</formula1>
    </dataValidation>
    <dataValidation type="decimal" operator="notEqual" allowBlank="1" showErrorMessage="1" errorTitle="Oops!" error="Please enter a number." sqref="I216">
      <formula1>-999999999999</formula1>
    </dataValidation>
    <dataValidation type="decimal" operator="notEqual" allowBlank="1" showErrorMessage="1" errorTitle="Oops!" error="Please enter a number." sqref="I219">
      <formula1>-999999999999</formula1>
    </dataValidation>
    <dataValidation type="decimal" operator="notEqual" allowBlank="1" showErrorMessage="1" errorTitle="Oops!" error="Please enter a number." sqref="I224">
      <formula1>-999999999999</formula1>
    </dataValidation>
    <dataValidation type="decimal" operator="notEqual" allowBlank="1" showErrorMessage="1" errorTitle="Oops!" error="Please enter a number." sqref="I229">
      <formula1>-999999999999</formula1>
    </dataValidation>
    <dataValidation type="decimal" operator="notEqual" allowBlank="1" showErrorMessage="1" errorTitle="Oops!" error="Please enter a number." sqref="I236">
      <formula1>-999999999999</formula1>
    </dataValidation>
    <dataValidation type="textLength" allowBlank="1" showErrorMessage="1" errorTitle="Oops!" error="Please enter text with a minimum of 0 and a maximum of 1,000 characters." sqref="I237">
      <formula1>0</formula1>
      <formula2>1000</formula2>
    </dataValidation>
    <dataValidation type="decimal" operator="notEqual" allowBlank="1" showErrorMessage="1" errorTitle="Oops!" error="Please enter a number." sqref="I242">
      <formula1>-999999999999</formula1>
    </dataValidation>
    <dataValidation type="decimal" operator="notEqual" allowBlank="1" showErrorMessage="1" errorTitle="Oops!" error="Please enter a number." sqref="I243">
      <formula1>-999999999999</formula1>
    </dataValidation>
  </dataValidations>
  <pageMargins left="0.75" right="0.75" top="1" bottom="1" header="0.5" footer="0.5"/>
  <pageSetup orientation="portrait"/>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3"/>
  <sheetViews>
    <sheetView workbookViewId="0" topLeftCell="A1"/>
  </sheetViews>
  <sheetFormatPr defaultRowHeight="12.75"/>
  <sheetData>
    <row r="1" spans="1:8" ht="12.75"/>
    <row r="2" spans="1:8" ht="12.75">
      <c r="A2" t="s">
        <v>32</v>
      </c>
      <c r="B2" t="s">
        <v>32</v>
      </c>
      <c r="C2" t="s">
        <v>32</v>
      </c>
      <c r="D2" t="s">
        <v>32</v>
      </c>
      <c r="E2" t="s">
        <v>32</v>
      </c>
      <c r="F2" t="s">
        <v>32</v>
      </c>
      <c r="G2" t="s">
        <v>32</v>
      </c>
      <c r="H2" t="s">
        <v>32</v>
      </c>
    </row>
    <row r="3" spans="1:8" ht="12.75">
      <c r="A3" t="s">
        <v>33</v>
      </c>
      <c r="B3" t="s">
        <v>33</v>
      </c>
      <c r="C3" t="s">
        <v>33</v>
      </c>
      <c r="D3" t="s">
        <v>33</v>
      </c>
      <c r="E3" t="s">
        <v>33</v>
      </c>
      <c r="F3" t="s">
        <v>33</v>
      </c>
      <c r="G3" t="s">
        <v>33</v>
      </c>
      <c r="H3" t="s">
        <v>33</v>
      </c>
    </row>
  </sheetData>
  <sheetProtection password="F7F9" sheet="1" objects="1" scenarios="1"/>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Y204"/>
  <sheetViews>
    <sheetView showRowColHeaders="0" workbookViewId="0" topLeftCell="A1">
      <selection pane="topLeft" activeCell="I25" sqref="I25"/>
    </sheetView>
  </sheetViews>
  <sheetFormatPr defaultColWidth="0" defaultRowHeight="0" customHeight="1"/>
  <cols>
    <col min="1" max="1" width="7.14285714285714" customWidth="1"/>
    <col min="2" max="2" width="2.85714285714286" customWidth="1"/>
    <col min="3" max="3" width="85.7142857142857" customWidth="1"/>
    <col min="4" max="4" width="2.85714285714286" customWidth="1"/>
    <col min="5" max="5" width="0" hidden="1" customWidth="1"/>
    <col min="6" max="6" width="2.85714285714286" customWidth="1"/>
    <col min="7" max="8" width="0" hidden="1" customWidth="1"/>
    <col min="9" max="9" width="15.7142857142857" customWidth="1"/>
    <col min="10" max="11" width="0" hidden="1" customWidth="1"/>
    <col min="12" max="12" width="2.57142857142857" customWidth="1"/>
    <col min="13" max="13" width="1.85714285714286" customWidth="1"/>
    <col min="14" max="15" width="0" hidden="1" customWidth="1"/>
    <col min="16" max="16" width="2.14285714285714" customWidth="1"/>
    <col min="17" max="17" width="0" hidden="1" customWidth="1"/>
    <col min="18" max="18" width="0.714285714285714" customWidth="1"/>
    <col min="19" max="19" width="17.8571428571429" customWidth="1"/>
    <col min="20" max="20" width="2.85714285714286" customWidth="1"/>
    <col min="21" max="21" width="3.57142857142857" customWidth="1"/>
    <col min="22" max="22" width="2.85714285714286" customWidth="1"/>
    <col min="23" max="23" width="28.5714285714286" customWidth="1"/>
    <col min="24" max="24" width="2.85714285714286" customWidth="1"/>
    <col min="25" max="25" width="7.14285714285714" customWidth="1"/>
  </cols>
  <sheetData>
    <row r="1" spans="1:25" ht="37.5" customHeight="1">
      <c r="A1" s="141">
        <f>IF(AND(IFERROR(INFO("SYSTEM"),"")="pcdos",VALUE(IFERROR(INFO("RELEASE"),0))&gt;=14),"",IF(AND(IFERROR(INFO("SYSTEM"),"")="mac",VALUE(IFERROR(INFO("RELEASE"),0))&gt;=15),"","WARNING: You are not using Microsoft Excel OR this version of Excel is no longer supported by Microsoft and may not be compatible with the CoMetrics platform.  On Windows: Office 2010, 2013, 2016, 2019 and 365 desktop (not web) are supported.  On Mac: Off"&amp;"ice 2016, 2019 and 365 desktop (not web) are supported."))</f>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5" customHeight="1">
      <c r="A2" s="22"/>
      <c r="B2" s="142"/>
      <c r="C2" s="162"/>
      <c r="D2" s="142"/>
      <c r="E2" s="144"/>
      <c r="F2" s="145"/>
      <c r="G2" s="144"/>
      <c r="H2" s="25"/>
      <c r="I2" s="146"/>
      <c r="J2" s="25"/>
      <c r="K2" s="147"/>
      <c r="L2" s="24"/>
      <c r="M2" s="145"/>
      <c r="N2" s="147"/>
      <c r="O2" s="148"/>
      <c r="P2" s="24"/>
      <c r="Q2" s="148"/>
      <c r="R2" s="149"/>
      <c r="S2" s="146"/>
      <c r="T2" s="149"/>
      <c r="U2" s="53"/>
      <c r="V2" s="150"/>
      <c r="W2" s="155"/>
      <c r="X2" s="150"/>
      <c r="Y2" s="22"/>
    </row>
    <row r="3" spans="1:25" ht="26.25" customHeight="1">
      <c r="A3" s="22"/>
      <c r="B3" s="142"/>
      <c r="C3" s="163">
        <f>"Operating Data ("&amp;IFERROR(INDEX({"2020"},MATCH(Welcome!C12,{"FY: 2020"},0)),"SELECT A FISCAL YEAR")&amp;")"</f>
      </c>
      <c r="D3" s="142"/>
      <c r="E3" s="144"/>
      <c r="F3" s="145"/>
      <c r="G3" s="144"/>
      <c r="H3" s="25"/>
      <c r="I3" s="146"/>
      <c r="J3" s="25"/>
      <c r="K3" s="147"/>
      <c r="L3" s="24"/>
      <c r="M3" s="145"/>
      <c r="N3" s="147"/>
      <c r="O3" s="148"/>
      <c r="P3" s="24"/>
      <c r="Q3" s="148"/>
      <c r="R3" s="149"/>
      <c r="S3" s="146"/>
      <c r="T3" s="149"/>
      <c r="U3" s="53"/>
      <c r="V3" s="150"/>
      <c r="W3" s="156" t="s">
        <v>84</v>
      </c>
      <c r="X3" s="150"/>
      <c r="Y3" s="22"/>
    </row>
    <row r="4" spans="1:25" ht="15" customHeight="1">
      <c r="A4" s="22"/>
      <c r="B4" s="142"/>
      <c r="C4" s="162"/>
      <c r="D4" s="142"/>
      <c r="E4" s="144"/>
      <c r="F4" s="145"/>
      <c r="G4" s="144"/>
      <c r="H4" s="25"/>
      <c r="I4" s="146"/>
      <c r="J4" s="25"/>
      <c r="K4" s="147"/>
      <c r="L4" s="24"/>
      <c r="M4" s="145"/>
      <c r="N4" s="147"/>
      <c r="O4" s="148"/>
      <c r="P4" s="24"/>
      <c r="Q4" s="148"/>
      <c r="R4" s="149"/>
      <c r="S4" s="146"/>
      <c r="T4" s="149"/>
      <c r="U4" s="53"/>
      <c r="V4" s="150"/>
      <c r="W4" s="255"/>
      <c r="X4" s="150"/>
      <c r="Y4" s="22"/>
    </row>
    <row r="5" spans="1:25" ht="15" hidden="1">
      <c r="A5" s="22"/>
      <c r="B5" s="142"/>
      <c r="C5" s="164"/>
      <c r="D5" s="142"/>
      <c r="E5" s="144"/>
      <c r="F5" s="145"/>
      <c r="G5" s="144"/>
      <c r="H5" s="25"/>
      <c r="I5" s="146"/>
      <c r="J5" s="25"/>
      <c r="K5" s="147"/>
      <c r="L5" s="24"/>
      <c r="M5" s="145"/>
      <c r="N5" s="147"/>
      <c r="O5" s="148"/>
      <c r="P5" s="24"/>
      <c r="Q5" s="148"/>
      <c r="R5" s="149"/>
      <c r="S5" s="146"/>
      <c r="T5" s="149"/>
      <c r="U5" s="53"/>
      <c r="V5" s="150"/>
      <c r="W5" s="255"/>
      <c r="X5" s="150"/>
      <c r="Y5" s="22"/>
    </row>
    <row r="6" spans="1:25" ht="15" hidden="1">
      <c r="A6" s="22"/>
      <c r="B6" s="142"/>
      <c r="C6" s="165"/>
      <c r="D6" s="142"/>
      <c r="E6" s="144"/>
      <c r="F6" s="145"/>
      <c r="G6" s="144"/>
      <c r="H6" s="25"/>
      <c r="I6" s="146"/>
      <c r="J6" s="25"/>
      <c r="K6" s="147"/>
      <c r="L6" s="24"/>
      <c r="M6" s="145"/>
      <c r="N6" s="147"/>
      <c r="O6" s="148"/>
      <c r="P6" s="24"/>
      <c r="Q6" s="148"/>
      <c r="R6" s="149"/>
      <c r="S6" s="146"/>
      <c r="T6" s="149"/>
      <c r="U6" s="53"/>
      <c r="V6" s="150"/>
      <c r="W6" s="255"/>
      <c r="X6" s="150"/>
      <c r="Y6" s="22"/>
    </row>
    <row r="7" spans="1:25" ht="21">
      <c r="A7" s="22"/>
      <c r="B7" s="142"/>
      <c r="C7" s="166" t="s">
        <v>16</v>
      </c>
      <c r="D7" s="142"/>
      <c r="E7" s="144"/>
      <c r="F7" s="145"/>
      <c r="G7" s="144"/>
      <c r="H7" s="25"/>
      <c r="I7" s="146"/>
      <c r="J7" s="25"/>
      <c r="K7" s="147"/>
      <c r="L7" s="24"/>
      <c r="M7" s="145"/>
      <c r="N7" s="147"/>
      <c r="O7" s="148"/>
      <c r="P7" s="24"/>
      <c r="Q7" s="148"/>
      <c r="R7" s="149"/>
      <c r="S7" s="146"/>
      <c r="T7" s="149"/>
      <c r="U7" s="53"/>
      <c r="V7" s="150"/>
      <c r="W7" s="255"/>
      <c r="X7" s="150"/>
      <c r="Y7" s="22"/>
    </row>
    <row r="8" spans="1:25" ht="7.5" customHeight="1">
      <c r="A8" s="22"/>
      <c r="B8" s="142"/>
      <c r="C8" s="165"/>
      <c r="D8" s="142"/>
      <c r="E8" s="144"/>
      <c r="F8" s="145"/>
      <c r="G8" s="144"/>
      <c r="H8" s="25"/>
      <c r="I8" s="146"/>
      <c r="J8" s="25"/>
      <c r="K8" s="147"/>
      <c r="L8" s="24"/>
      <c r="M8" s="145"/>
      <c r="N8" s="147"/>
      <c r="O8" s="148"/>
      <c r="P8" s="24"/>
      <c r="Q8" s="148"/>
      <c r="R8" s="149"/>
      <c r="S8" s="146"/>
      <c r="T8" s="149"/>
      <c r="U8" s="53"/>
      <c r="V8" s="150"/>
      <c r="W8" s="255"/>
      <c r="X8" s="150"/>
      <c r="Y8" s="22"/>
    </row>
    <row r="9" spans="1:25" ht="15" hidden="1">
      <c r="A9" s="22"/>
      <c r="B9" s="142"/>
      <c r="C9" s="167"/>
      <c r="D9" s="142"/>
      <c r="E9" s="144"/>
      <c r="F9" s="145"/>
      <c r="G9" s="144"/>
      <c r="H9" s="25"/>
      <c r="I9" s="146"/>
      <c r="J9" s="25"/>
      <c r="K9" s="147"/>
      <c r="L9" s="24"/>
      <c r="M9" s="145"/>
      <c r="N9" s="147"/>
      <c r="O9" s="148"/>
      <c r="P9" s="24"/>
      <c r="Q9" s="148"/>
      <c r="R9" s="149"/>
      <c r="S9" s="146"/>
      <c r="T9" s="149"/>
      <c r="U9" s="53"/>
      <c r="V9" s="150"/>
      <c r="W9" s="255"/>
      <c r="X9" s="150"/>
      <c r="Y9" s="22"/>
    </row>
    <row r="10" spans="1:25" ht="15" customHeight="1">
      <c r="A10" s="22"/>
      <c r="B10" s="142"/>
      <c r="C10" s="168" t="s">
        <v>83</v>
      </c>
      <c r="D10" s="142"/>
      <c r="E10" s="144"/>
      <c r="F10" s="145"/>
      <c r="G10" s="144"/>
      <c r="H10" s="25"/>
      <c r="I10" s="146"/>
      <c r="J10" s="25"/>
      <c r="K10" s="147"/>
      <c r="L10" s="24"/>
      <c r="M10" s="145"/>
      <c r="N10" s="147"/>
      <c r="O10" s="148"/>
      <c r="P10" s="24"/>
      <c r="Q10" s="148"/>
      <c r="R10" s="149"/>
      <c r="S10" s="146"/>
      <c r="T10" s="149"/>
      <c r="U10" s="53"/>
      <c r="V10" s="150"/>
      <c r="W10" s="255"/>
      <c r="X10" s="150"/>
      <c r="Y10" s="22"/>
    </row>
    <row r="11" spans="1:25" ht="15" customHeight="1">
      <c r="A11" s="22"/>
      <c r="B11" s="142"/>
      <c r="C11" s="168" t="s">
        <v>82</v>
      </c>
      <c r="D11" s="142"/>
      <c r="E11" s="144"/>
      <c r="F11" s="145"/>
      <c r="G11" s="144"/>
      <c r="H11" s="25"/>
      <c r="I11" s="146"/>
      <c r="J11" s="25"/>
      <c r="K11" s="147"/>
      <c r="L11" s="24"/>
      <c r="M11" s="145"/>
      <c r="N11" s="147"/>
      <c r="O11" s="148"/>
      <c r="P11" s="24"/>
      <c r="Q11" s="148"/>
      <c r="R11" s="149"/>
      <c r="S11" s="146"/>
      <c r="T11" s="149"/>
      <c r="U11" s="53"/>
      <c r="V11" s="150"/>
      <c r="W11" s="255"/>
      <c r="X11" s="150"/>
      <c r="Y11" s="22"/>
    </row>
    <row r="12" spans="1:25" ht="15" customHeight="1" thickBot="1">
      <c r="A12" s="22"/>
      <c r="B12" s="142"/>
      <c r="C12" s="168" t="s">
        <v>81</v>
      </c>
      <c r="D12" s="142"/>
      <c r="E12" s="144"/>
      <c r="F12" s="145"/>
      <c r="G12" s="144"/>
      <c r="H12" s="25"/>
      <c r="I12" s="177"/>
      <c r="J12" s="25"/>
      <c r="K12" s="147"/>
      <c r="L12" s="24"/>
      <c r="M12" s="145"/>
      <c r="N12" s="147"/>
      <c r="O12" s="148"/>
      <c r="P12" s="24"/>
      <c r="Q12" s="148"/>
      <c r="R12" s="149"/>
      <c r="S12" s="146"/>
      <c r="T12" s="149"/>
      <c r="U12" s="53"/>
      <c r="V12" s="150"/>
      <c r="W12" s="255"/>
      <c r="X12" s="150"/>
      <c r="Y12" s="22"/>
    </row>
    <row r="13" spans="1:25" ht="15.75" thickBot="1">
      <c r="A13" s="22"/>
      <c r="B13" s="142"/>
      <c r="C13" s="169" t="s">
        <v>40</v>
      </c>
      <c r="D13" s="142"/>
      <c r="E13" s="144"/>
      <c r="F13" s="145"/>
      <c r="G13" s="144"/>
      <c r="H13" s="25"/>
      <c r="I13" s="178" t="s">
        <v>80</v>
      </c>
      <c r="J13" s="25"/>
      <c r="K13" s="147"/>
      <c r="L13" s="24"/>
      <c r="M13" s="145"/>
      <c r="N13" s="147"/>
      <c r="O13" s="148"/>
      <c r="P13" s="179">
        <f>"Pass"</f>
      </c>
      <c r="Q13" s="148"/>
      <c r="R13" s="149"/>
      <c r="S13" s="180" t="s">
        <v>79</v>
      </c>
      <c r="T13" s="149"/>
      <c r="U13" s="53"/>
      <c r="V13" s="150"/>
      <c r="W13" s="255"/>
      <c r="X13" s="150"/>
      <c r="Y13" s="22"/>
    </row>
    <row r="14" spans="1:25" ht="15" customHeight="1" thickBot="1">
      <c r="A14" s="22"/>
      <c r="B14" s="142"/>
      <c r="C14" s="181" t="s">
        <v>81</v>
      </c>
      <c r="D14" s="182"/>
      <c r="E14" s="183"/>
      <c r="F14" s="184"/>
      <c r="G14" s="183"/>
      <c r="H14" s="185"/>
      <c r="I14" s="186"/>
      <c r="J14" s="185"/>
      <c r="K14" s="187"/>
      <c r="L14" s="188"/>
      <c r="M14" s="184"/>
      <c r="N14" s="187"/>
      <c r="O14" s="189"/>
      <c r="P14" s="188"/>
      <c r="Q14" s="189"/>
      <c r="R14" s="190"/>
      <c r="S14" s="186"/>
      <c r="T14" s="149"/>
      <c r="U14" s="53"/>
      <c r="V14" s="150"/>
      <c r="W14" s="255"/>
      <c r="X14" s="150"/>
      <c r="Y14" s="22"/>
    </row>
    <row r="15" spans="1:25" ht="15" customHeight="1">
      <c r="A15" s="22"/>
      <c r="B15" s="142"/>
      <c r="C15" s="167"/>
      <c r="D15" s="142"/>
      <c r="E15" s="144"/>
      <c r="F15" s="145"/>
      <c r="G15" s="144"/>
      <c r="H15" s="25"/>
      <c r="I15" s="146"/>
      <c r="J15" s="25"/>
      <c r="K15" s="147"/>
      <c r="L15" s="24"/>
      <c r="M15" s="145"/>
      <c r="N15" s="147"/>
      <c r="O15" s="148"/>
      <c r="P15" s="24"/>
      <c r="Q15" s="148"/>
      <c r="R15" s="149"/>
      <c r="S15" s="146"/>
      <c r="T15" s="149"/>
      <c r="U15" s="53"/>
      <c r="V15" s="150"/>
      <c r="W15" s="255"/>
      <c r="X15" s="150"/>
      <c r="Y15" s="22"/>
    </row>
    <row r="16" spans="1:25" ht="15" customHeight="1">
      <c r="A16" s="22"/>
      <c r="B16" s="142"/>
      <c r="C16" s="164"/>
      <c r="D16" s="142"/>
      <c r="E16" s="144"/>
      <c r="F16" s="145"/>
      <c r="G16" s="144"/>
      <c r="H16" s="25"/>
      <c r="I16" s="146"/>
      <c r="J16" s="25"/>
      <c r="K16" s="147"/>
      <c r="L16" s="24"/>
      <c r="M16" s="145"/>
      <c r="N16" s="147"/>
      <c r="O16" s="148"/>
      <c r="P16" s="24"/>
      <c r="Q16" s="148"/>
      <c r="R16" s="149"/>
      <c r="S16" s="146"/>
      <c r="T16" s="149"/>
      <c r="U16" s="53"/>
      <c r="V16" s="150"/>
      <c r="W16" s="255"/>
      <c r="X16" s="150"/>
      <c r="Y16" s="22"/>
    </row>
    <row r="17" spans="1:25" ht="15" hidden="1">
      <c r="A17" s="22"/>
      <c r="B17" s="142"/>
      <c r="C17" s="191"/>
      <c r="D17" s="142"/>
      <c r="E17" s="144"/>
      <c r="F17" s="145"/>
      <c r="G17" s="144"/>
      <c r="H17" s="25"/>
      <c r="I17" s="146"/>
      <c r="J17" s="25"/>
      <c r="K17" s="147"/>
      <c r="L17" s="24"/>
      <c r="M17" s="145"/>
      <c r="N17" s="147"/>
      <c r="O17" s="148"/>
      <c r="P17" s="24"/>
      <c r="Q17" s="148"/>
      <c r="R17" s="149"/>
      <c r="S17" s="146"/>
      <c r="T17" s="149"/>
      <c r="U17" s="53"/>
      <c r="V17" s="150"/>
      <c r="W17" s="255"/>
      <c r="X17" s="150"/>
      <c r="Y17" s="22"/>
    </row>
    <row r="18" spans="1:25" ht="15" hidden="1">
      <c r="A18" s="22"/>
      <c r="B18" s="142"/>
      <c r="C18" s="192"/>
      <c r="D18" s="142"/>
      <c r="E18" s="144"/>
      <c r="F18" s="145"/>
      <c r="G18" s="144"/>
      <c r="H18" s="25"/>
      <c r="I18" s="146"/>
      <c r="J18" s="25"/>
      <c r="K18" s="147"/>
      <c r="L18" s="24"/>
      <c r="M18" s="145"/>
      <c r="N18" s="147"/>
      <c r="O18" s="148"/>
      <c r="P18" s="24"/>
      <c r="Q18" s="148"/>
      <c r="R18" s="149"/>
      <c r="S18" s="146"/>
      <c r="T18" s="149"/>
      <c r="U18" s="53"/>
      <c r="V18" s="150"/>
      <c r="W18" s="255"/>
      <c r="X18" s="150"/>
      <c r="Y18" s="22"/>
    </row>
    <row r="19" spans="1:25" ht="15" hidden="1">
      <c r="A19" s="22"/>
      <c r="B19" s="142"/>
      <c r="C19" s="193"/>
      <c r="D19" s="142"/>
      <c r="E19" s="144"/>
      <c r="F19" s="145"/>
      <c r="G19" s="144"/>
      <c r="H19" s="25"/>
      <c r="I19" s="146"/>
      <c r="J19" s="25"/>
      <c r="K19" s="147"/>
      <c r="L19" s="24"/>
      <c r="M19" s="145"/>
      <c r="N19" s="147"/>
      <c r="O19" s="148"/>
      <c r="P19" s="24"/>
      <c r="Q19" s="148"/>
      <c r="R19" s="149"/>
      <c r="S19" s="146"/>
      <c r="T19" s="149"/>
      <c r="U19" s="53"/>
      <c r="V19" s="150"/>
      <c r="W19" s="255"/>
      <c r="X19" s="150"/>
      <c r="Y19" s="22"/>
    </row>
    <row r="20" spans="1:25" ht="21">
      <c r="A20" s="22"/>
      <c r="B20" s="142"/>
      <c r="C20" s="166" t="s">
        <v>78</v>
      </c>
      <c r="D20" s="142"/>
      <c r="E20" s="144"/>
      <c r="F20" s="145"/>
      <c r="G20" s="144"/>
      <c r="H20" s="25"/>
      <c r="I20" s="146"/>
      <c r="J20" s="25"/>
      <c r="K20" s="147"/>
      <c r="L20" s="24"/>
      <c r="M20" s="145"/>
      <c r="N20" s="147"/>
      <c r="O20" s="148"/>
      <c r="P20" s="24"/>
      <c r="Q20" s="148"/>
      <c r="R20" s="149"/>
      <c r="S20" s="146"/>
      <c r="T20" s="149"/>
      <c r="U20" s="53"/>
      <c r="V20" s="150"/>
      <c r="W20" s="255"/>
      <c r="X20" s="150"/>
      <c r="Y20" s="22"/>
    </row>
    <row r="21" spans="1:25" ht="7.5" customHeight="1">
      <c r="A21" s="22"/>
      <c r="B21" s="142"/>
      <c r="C21" s="193"/>
      <c r="D21" s="142"/>
      <c r="E21" s="144"/>
      <c r="F21" s="145"/>
      <c r="G21" s="144"/>
      <c r="H21" s="25"/>
      <c r="I21" s="146"/>
      <c r="J21" s="25"/>
      <c r="K21" s="147"/>
      <c r="L21" s="24"/>
      <c r="M21" s="145"/>
      <c r="N21" s="147"/>
      <c r="O21" s="148"/>
      <c r="P21" s="24"/>
      <c r="Q21" s="148"/>
      <c r="R21" s="149"/>
      <c r="S21" s="146"/>
      <c r="T21" s="149"/>
      <c r="U21" s="53"/>
      <c r="V21" s="150"/>
      <c r="W21" s="255"/>
      <c r="X21" s="150"/>
      <c r="Y21" s="22"/>
    </row>
    <row r="22" spans="1:25" ht="15" hidden="1">
      <c r="A22" s="22"/>
      <c r="B22" s="142"/>
      <c r="C22" s="200"/>
      <c r="D22" s="142"/>
      <c r="E22" s="144"/>
      <c r="F22" s="145"/>
      <c r="G22" s="144"/>
      <c r="H22" s="25"/>
      <c r="I22" s="146"/>
      <c r="J22" s="25"/>
      <c r="K22" s="147"/>
      <c r="L22" s="24"/>
      <c r="M22" s="145"/>
      <c r="N22" s="147"/>
      <c r="O22" s="148"/>
      <c r="P22" s="24"/>
      <c r="Q22" s="148"/>
      <c r="R22" s="149"/>
      <c r="S22" s="146"/>
      <c r="T22" s="149"/>
      <c r="U22" s="53"/>
      <c r="V22" s="150"/>
      <c r="W22" s="255"/>
      <c r="X22" s="150"/>
      <c r="Y22" s="22"/>
    </row>
    <row r="23" spans="1:25" ht="15" hidden="1">
      <c r="A23" s="22"/>
      <c r="B23" s="142"/>
      <c r="C23" s="201"/>
      <c r="D23" s="142"/>
      <c r="E23" s="144"/>
      <c r="F23" s="145"/>
      <c r="G23" s="144"/>
      <c r="H23" s="25"/>
      <c r="I23" s="146"/>
      <c r="J23" s="25"/>
      <c r="K23" s="147"/>
      <c r="L23" s="24"/>
      <c r="M23" s="145"/>
      <c r="N23" s="147"/>
      <c r="O23" s="148"/>
      <c r="P23" s="24"/>
      <c r="Q23" s="148"/>
      <c r="R23" s="149"/>
      <c r="S23" s="146"/>
      <c r="T23" s="149"/>
      <c r="U23" s="53"/>
      <c r="V23" s="150"/>
      <c r="W23" s="255"/>
      <c r="X23" s="150"/>
      <c r="Y23" s="22"/>
    </row>
    <row r="24" spans="1:25" ht="15" hidden="1" thickBot="1">
      <c r="A24" s="22"/>
      <c r="B24" s="142"/>
      <c r="C24" s="204"/>
      <c r="D24" s="142"/>
      <c r="E24" s="144"/>
      <c r="F24" s="145"/>
      <c r="G24" s="144"/>
      <c r="H24" s="25"/>
      <c r="I24" s="177"/>
      <c r="J24" s="25"/>
      <c r="K24" s="147"/>
      <c r="L24" s="24"/>
      <c r="M24" s="145"/>
      <c r="N24" s="147"/>
      <c r="O24" s="148"/>
      <c r="P24" s="24"/>
      <c r="Q24" s="148"/>
      <c r="R24" s="149"/>
      <c r="S24" s="146"/>
      <c r="T24" s="149"/>
      <c r="U24" s="53"/>
      <c r="V24" s="150"/>
      <c r="W24" s="255"/>
      <c r="X24" s="150"/>
      <c r="Y24" s="22"/>
    </row>
    <row r="25" spans="1:25" ht="15" thickBot="1">
      <c r="A25" s="22"/>
      <c r="B25" s="142"/>
      <c r="C25" s="205" t="s">
        <v>231</v>
      </c>
      <c r="D25" s="142"/>
      <c r="E25" s="144"/>
      <c r="F25" s="206"/>
      <c r="G25" s="144"/>
      <c r="H25" s="25"/>
      <c r="I25" s="257"/>
      <c r="J25" s="25"/>
      <c r="K25" s="147"/>
      <c r="L25" s="206" t="s">
        <v>70</v>
      </c>
      <c r="M25" s="206"/>
      <c r="N25" s="147"/>
      <c r="O25" s="148"/>
      <c r="P25" s="179">
        <f>IF(NOT(NOT(IF(ISERROR(I25),ERROR.TYPE(#REF!)=ERROR.TYPE(I25),FALSE))),"Fail",IF(NOT(NOT(ISBLANK(I25))),"Fail",IF(NOT(ISNUMBER(I25)),"Fail",IF(NOT(LEN(I25)-FIND(".",I25&amp;".")&lt;=1),"Fail",IF(NOT(I25&gt;=0),"Fail",IF(NOT(I25&lt;=100),"Fail","Pass"))))))</f>
      </c>
      <c r="Q25" s="148"/>
      <c r="R25" s="149"/>
      <c r="S25" s="207">
        <f>IF(NOT(NOT(IF(ISERROR(I25),ERROR.TYPE(#REF!)=ERROR.TYPE(I25),FALSE))),"UNDO NOW (use button or Ctrl+Z)! CANNOT DRAG-AND-DROP CELLS",IF(NOT(NOT(ISBLANK(I25))),"input required",IF(NOT(ISNUMBER(I25)),"enter a number",IF(NOT(LEN(I25)-FIND(".",I25&amp;".")&lt;=1),"only 1 decimal place(s) allowed",IF(NOT(I25&gt;=0),"must be &gt;= 0",IF(NOT(I25&lt;=100),"must be &lt;= 100",""))))))</f>
      </c>
      <c r="T25" s="149"/>
      <c r="U25" s="53"/>
      <c r="V25" s="150"/>
      <c r="W25" s="255"/>
      <c r="X25" s="150"/>
      <c r="Y25" s="22"/>
    </row>
    <row r="26" spans="1:25" ht="15" hidden="1">
      <c r="A26" s="22"/>
      <c r="B26" s="142"/>
      <c r="C26" s="204"/>
      <c r="D26" s="142"/>
      <c r="E26" s="144"/>
      <c r="F26" s="145"/>
      <c r="G26" s="144"/>
      <c r="H26" s="25"/>
      <c r="I26" s="146"/>
      <c r="J26" s="25"/>
      <c r="K26" s="147"/>
      <c r="L26" s="24"/>
      <c r="M26" s="145"/>
      <c r="N26" s="147"/>
      <c r="O26" s="148"/>
      <c r="P26" s="24"/>
      <c r="Q26" s="148"/>
      <c r="R26" s="149"/>
      <c r="S26" s="146"/>
      <c r="T26" s="149"/>
      <c r="U26" s="53"/>
      <c r="V26" s="150"/>
      <c r="W26" s="255"/>
      <c r="X26" s="150"/>
      <c r="Y26" s="22"/>
    </row>
    <row r="27" spans="1:25" ht="15" customHeight="1">
      <c r="A27" s="22"/>
      <c r="B27" s="142"/>
      <c r="C27" s="201"/>
      <c r="D27" s="142"/>
      <c r="E27" s="144"/>
      <c r="F27" s="145"/>
      <c r="G27" s="144"/>
      <c r="H27" s="25"/>
      <c r="I27" s="146"/>
      <c r="J27" s="25"/>
      <c r="K27" s="147"/>
      <c r="L27" s="24"/>
      <c r="M27" s="145"/>
      <c r="N27" s="147"/>
      <c r="O27" s="148"/>
      <c r="P27" s="24"/>
      <c r="Q27" s="148"/>
      <c r="R27" s="149"/>
      <c r="S27" s="146"/>
      <c r="T27" s="149"/>
      <c r="U27" s="53"/>
      <c r="V27" s="150"/>
      <c r="W27" s="255"/>
      <c r="X27" s="150"/>
      <c r="Y27" s="22"/>
    </row>
    <row r="28" spans="1:25" ht="15" hidden="1">
      <c r="A28" s="22"/>
      <c r="B28" s="142"/>
      <c r="C28" s="201"/>
      <c r="D28" s="142"/>
      <c r="E28" s="144"/>
      <c r="F28" s="145"/>
      <c r="G28" s="144"/>
      <c r="H28" s="25"/>
      <c r="I28" s="146"/>
      <c r="J28" s="25"/>
      <c r="K28" s="147"/>
      <c r="L28" s="24"/>
      <c r="M28" s="145"/>
      <c r="N28" s="147"/>
      <c r="O28" s="148"/>
      <c r="P28" s="24"/>
      <c r="Q28" s="148"/>
      <c r="R28" s="149"/>
      <c r="S28" s="146"/>
      <c r="T28" s="149"/>
      <c r="U28" s="53"/>
      <c r="V28" s="150"/>
      <c r="W28" s="255"/>
      <c r="X28" s="150"/>
      <c r="Y28" s="22"/>
    </row>
    <row r="29" spans="1:25" ht="15" hidden="1" thickBot="1">
      <c r="A29" s="22"/>
      <c r="B29" s="142"/>
      <c r="C29" s="204"/>
      <c r="D29" s="142"/>
      <c r="E29" s="144"/>
      <c r="F29" s="145"/>
      <c r="G29" s="144"/>
      <c r="H29" s="25"/>
      <c r="I29" s="177"/>
      <c r="J29" s="25"/>
      <c r="K29" s="147"/>
      <c r="L29" s="24"/>
      <c r="M29" s="145"/>
      <c r="N29" s="147"/>
      <c r="O29" s="148"/>
      <c r="P29" s="24"/>
      <c r="Q29" s="148"/>
      <c r="R29" s="149"/>
      <c r="S29" s="146"/>
      <c r="T29" s="149"/>
      <c r="U29" s="53"/>
      <c r="V29" s="150"/>
      <c r="W29" s="255"/>
      <c r="X29" s="150"/>
      <c r="Y29" s="22"/>
    </row>
    <row r="30" spans="1:25" ht="15" thickBot="1">
      <c r="A30" s="22"/>
      <c r="B30" s="142"/>
      <c r="C30" s="205" t="s">
        <v>210</v>
      </c>
      <c r="D30" s="142"/>
      <c r="E30" s="144"/>
      <c r="F30" s="206"/>
      <c r="G30" s="144"/>
      <c r="H30" s="25"/>
      <c r="I30" s="257"/>
      <c r="J30" s="25"/>
      <c r="K30" s="147"/>
      <c r="L30" s="206" t="s">
        <v>70</v>
      </c>
      <c r="M30" s="206"/>
      <c r="N30" s="147"/>
      <c r="O30" s="148"/>
      <c r="P30" s="179">
        <f>IF(NOT(NOT(IF(ISERROR(I30),ERROR.TYPE(#REF!)=ERROR.TYPE(I30),FALSE))),"Fail",IF(NOT(NOT(ISBLANK(I30))),"Fail",IF(NOT(ISNUMBER(I30)),"Fail",IF(NOT(LEN(I30)-FIND(".",I30&amp;".")&lt;=1),"Fail",IF(NOT(I30&gt;=0),"Fail",IF(NOT(I30&lt;=100),"Fail","Pass"))))))</f>
      </c>
      <c r="Q30" s="148"/>
      <c r="R30" s="149"/>
      <c r="S30" s="207">
        <f>IF(NOT(NOT(IF(ISERROR(I30),ERROR.TYPE(#REF!)=ERROR.TYPE(I30),FALSE))),"UNDO NOW (use button or Ctrl+Z)! CANNOT DRAG-AND-DROP CELLS",IF(NOT(NOT(ISBLANK(I30))),"input required",IF(NOT(ISNUMBER(I30)),"enter a number",IF(NOT(LEN(I30)-FIND(".",I30&amp;".")&lt;=1),"only 1 decimal place(s) allowed",IF(NOT(I30&gt;=0),"must be &gt;= 0",IF(NOT(I30&lt;=100),"must be &lt;= 100",""))))))</f>
      </c>
      <c r="T30" s="149"/>
      <c r="U30" s="53"/>
      <c r="V30" s="150"/>
      <c r="W30" s="255"/>
      <c r="X30" s="150"/>
      <c r="Y30" s="22"/>
    </row>
    <row r="31" spans="1:25" ht="15" hidden="1">
      <c r="A31" s="22"/>
      <c r="B31" s="142"/>
      <c r="C31" s="204"/>
      <c r="D31" s="142"/>
      <c r="E31" s="144"/>
      <c r="F31" s="145"/>
      <c r="G31" s="144"/>
      <c r="H31" s="25"/>
      <c r="I31" s="146"/>
      <c r="J31" s="25"/>
      <c r="K31" s="147"/>
      <c r="L31" s="24"/>
      <c r="M31" s="145"/>
      <c r="N31" s="147"/>
      <c r="O31" s="148"/>
      <c r="P31" s="24"/>
      <c r="Q31" s="148"/>
      <c r="R31" s="149"/>
      <c r="S31" s="146"/>
      <c r="T31" s="149"/>
      <c r="U31" s="53"/>
      <c r="V31" s="150"/>
      <c r="W31" s="255"/>
      <c r="X31" s="150"/>
      <c r="Y31" s="22"/>
    </row>
    <row r="32" spans="1:25" ht="15" hidden="1" thickBot="1">
      <c r="A32" s="22"/>
      <c r="B32" s="142"/>
      <c r="C32" s="226"/>
      <c r="D32" s="142"/>
      <c r="E32" s="144"/>
      <c r="F32" s="145"/>
      <c r="G32" s="144"/>
      <c r="H32" s="25"/>
      <c r="I32" s="177"/>
      <c r="J32" s="25"/>
      <c r="K32" s="147"/>
      <c r="L32" s="24"/>
      <c r="M32" s="145"/>
      <c r="N32" s="147"/>
      <c r="O32" s="148"/>
      <c r="P32" s="24"/>
      <c r="Q32" s="148"/>
      <c r="R32" s="149"/>
      <c r="S32" s="146"/>
      <c r="T32" s="149"/>
      <c r="U32" s="53"/>
      <c r="V32" s="150"/>
      <c r="W32" s="255"/>
      <c r="X32" s="150"/>
      <c r="Y32" s="22"/>
    </row>
    <row r="33" spans="1:25" ht="15" thickBot="1">
      <c r="A33" s="22"/>
      <c r="B33" s="142"/>
      <c r="C33" s="227" t="s">
        <v>230</v>
      </c>
      <c r="D33" s="142"/>
      <c r="E33" s="144"/>
      <c r="F33" s="206" t="s">
        <v>66</v>
      </c>
      <c r="G33" s="144"/>
      <c r="H33" s="25"/>
      <c r="I33" s="233">
        <f>IF(OR(OR(ISBLANK(IF(OR(OR(ISBLANK(I30),I30=""),OR(ISBLANK(100),100="")),"",(I30/100))),IF(OR(OR(ISBLANK(I30),I30=""),OR(ISBLANK(100),100="")),"",(I30/100))=""),OR(ISBLANK('Income Statement'!I31),'Income Statement'!I31="")),"",(IF(OR(OR(ISBLANK(I30),I30=""),OR(ISBLANK(100),100="")),"",(I30/100))*'Income Statement'!I31))</f>
      </c>
      <c r="J33" s="25"/>
      <c r="K33" s="147"/>
      <c r="L33" s="24"/>
      <c r="M33" s="206"/>
      <c r="N33" s="147"/>
      <c r="O33" s="148"/>
      <c r="P33" s="179">
        <f>IF(TRUE,"PassBecauseNoConstraints","ERROR")</f>
      </c>
      <c r="Q33" s="148"/>
      <c r="R33" s="149"/>
      <c r="S33" s="207">
        <f>IF(TRUE,"","ERROR")</f>
      </c>
      <c r="T33" s="149"/>
      <c r="U33" s="53"/>
      <c r="V33" s="150"/>
      <c r="W33" s="255"/>
      <c r="X33" s="150"/>
      <c r="Y33" s="22"/>
    </row>
    <row r="34" spans="1:25" ht="15" thickBot="1">
      <c r="A34" s="22"/>
      <c r="B34" s="142"/>
      <c r="C34" s="227" t="s">
        <v>229</v>
      </c>
      <c r="D34" s="142"/>
      <c r="E34" s="144"/>
      <c r="F34" s="206" t="s">
        <v>66</v>
      </c>
      <c r="G34" s="144"/>
      <c r="H34" s="25"/>
      <c r="I34" s="233">
        <f>IF(OR(OR(ISBLANK('Income Statement'!I31),'Income Statement'!I31=""),OR(ISBLANK(I33),I33="")),"",('Income Statement'!I31-I33))</f>
      </c>
      <c r="J34" s="25"/>
      <c r="K34" s="147"/>
      <c r="L34" s="24"/>
      <c r="M34" s="206"/>
      <c r="N34" s="147"/>
      <c r="O34" s="148"/>
      <c r="P34" s="179">
        <f>IF(TRUE,"PassBecauseNoConstraints","ERROR")</f>
      </c>
      <c r="Q34" s="148"/>
      <c r="R34" s="149"/>
      <c r="S34" s="207">
        <f>IF(TRUE,"","ERROR")</f>
      </c>
      <c r="T34" s="149"/>
      <c r="U34" s="53"/>
      <c r="V34" s="150"/>
      <c r="W34" s="255"/>
      <c r="X34" s="150"/>
      <c r="Y34" s="22"/>
    </row>
    <row r="35" spans="1:25" ht="15" hidden="1">
      <c r="A35" s="22"/>
      <c r="B35" s="142"/>
      <c r="C35" s="226"/>
      <c r="D35" s="142"/>
      <c r="E35" s="144"/>
      <c r="F35" s="145"/>
      <c r="G35" s="144"/>
      <c r="H35" s="25"/>
      <c r="I35" s="146"/>
      <c r="J35" s="25"/>
      <c r="K35" s="147"/>
      <c r="L35" s="24"/>
      <c r="M35" s="145"/>
      <c r="N35" s="147"/>
      <c r="O35" s="148"/>
      <c r="P35" s="24"/>
      <c r="Q35" s="148"/>
      <c r="R35" s="149"/>
      <c r="S35" s="146"/>
      <c r="T35" s="149"/>
      <c r="U35" s="53"/>
      <c r="V35" s="150"/>
      <c r="W35" s="255"/>
      <c r="X35" s="150"/>
      <c r="Y35" s="22"/>
    </row>
    <row r="36" spans="1:25" ht="15" customHeight="1">
      <c r="A36" s="22"/>
      <c r="B36" s="142"/>
      <c r="C36" s="201"/>
      <c r="D36" s="142"/>
      <c r="E36" s="144"/>
      <c r="F36" s="145"/>
      <c r="G36" s="144"/>
      <c r="H36" s="25"/>
      <c r="I36" s="146"/>
      <c r="J36" s="25"/>
      <c r="K36" s="147"/>
      <c r="L36" s="24"/>
      <c r="M36" s="145"/>
      <c r="N36" s="147"/>
      <c r="O36" s="148"/>
      <c r="P36" s="24"/>
      <c r="Q36" s="148"/>
      <c r="R36" s="149"/>
      <c r="S36" s="146"/>
      <c r="T36" s="149"/>
      <c r="U36" s="53"/>
      <c r="V36" s="150"/>
      <c r="W36" s="255"/>
      <c r="X36" s="150"/>
      <c r="Y36" s="22"/>
    </row>
    <row r="37" spans="1:25" ht="15" hidden="1">
      <c r="A37" s="22"/>
      <c r="B37" s="142"/>
      <c r="C37" s="201"/>
      <c r="D37" s="142"/>
      <c r="E37" s="144"/>
      <c r="F37" s="145"/>
      <c r="G37" s="144"/>
      <c r="H37" s="25"/>
      <c r="I37" s="146"/>
      <c r="J37" s="25"/>
      <c r="K37" s="147"/>
      <c r="L37" s="24"/>
      <c r="M37" s="145"/>
      <c r="N37" s="147"/>
      <c r="O37" s="148"/>
      <c r="P37" s="24"/>
      <c r="Q37" s="148"/>
      <c r="R37" s="149"/>
      <c r="S37" s="146"/>
      <c r="T37" s="149"/>
      <c r="U37" s="53"/>
      <c r="V37" s="150"/>
      <c r="W37" s="255"/>
      <c r="X37" s="150"/>
      <c r="Y37" s="22"/>
    </row>
    <row r="38" spans="1:25" ht="15" hidden="1" thickBot="1">
      <c r="A38" s="22"/>
      <c r="B38" s="142"/>
      <c r="C38" s="204"/>
      <c r="D38" s="142"/>
      <c r="E38" s="144"/>
      <c r="F38" s="145"/>
      <c r="G38" s="144"/>
      <c r="H38" s="25"/>
      <c r="I38" s="177"/>
      <c r="J38" s="25"/>
      <c r="K38" s="147"/>
      <c r="L38" s="24"/>
      <c r="M38" s="145"/>
      <c r="N38" s="147"/>
      <c r="O38" s="148"/>
      <c r="P38" s="24"/>
      <c r="Q38" s="148"/>
      <c r="R38" s="149"/>
      <c r="S38" s="146"/>
      <c r="T38" s="149"/>
      <c r="U38" s="53"/>
      <c r="V38" s="150"/>
      <c r="W38" s="255"/>
      <c r="X38" s="150"/>
      <c r="Y38" s="22"/>
    </row>
    <row r="39" spans="1:25" ht="15" thickBot="1">
      <c r="A39" s="22"/>
      <c r="B39" s="142"/>
      <c r="C39" s="205" t="s">
        <v>228</v>
      </c>
      <c r="D39" s="142"/>
      <c r="E39" s="144"/>
      <c r="F39" s="206"/>
      <c r="G39" s="144"/>
      <c r="H39" s="25"/>
      <c r="I39" s="257"/>
      <c r="J39" s="25"/>
      <c r="K39" s="147"/>
      <c r="L39" s="206" t="s">
        <v>70</v>
      </c>
      <c r="M39" s="206"/>
      <c r="N39" s="147"/>
      <c r="O39" s="148"/>
      <c r="P39" s="179">
        <f>IF(NOT(NOT(IF(ISERROR(I39),ERROR.TYPE(#REF!)=ERROR.TYPE(I39),FALSE))),"Fail",IF(NOT(NOT(ISBLANK(I39))),"Fail",IF(NOT(ISNUMBER(I39)),"Fail",IF(NOT(LEN(I39)-FIND(".",I39&amp;".")&lt;=1),"Fail",IF(NOT(I39&gt;=0),"Fail",IF(NOT(I39&lt;=100),"Fail","Pass"))))))</f>
      </c>
      <c r="Q39" s="148"/>
      <c r="R39" s="149"/>
      <c r="S39" s="207">
        <f>IF(NOT(NOT(IF(ISERROR(I39),ERROR.TYPE(#REF!)=ERROR.TYPE(I39),FALSE))),"UNDO NOW (use button or Ctrl+Z)! CANNOT DRAG-AND-DROP CELLS",IF(NOT(NOT(ISBLANK(I39))),"input required",IF(NOT(ISNUMBER(I39)),"enter a number",IF(NOT(LEN(I39)-FIND(".",I39&amp;".")&lt;=1),"only 1 decimal place(s) allowed",IF(NOT(I39&gt;=0),"must be &gt;= 0",IF(NOT(I39&lt;=100),"must be &lt;= 100",""))))))</f>
      </c>
      <c r="T39" s="149"/>
      <c r="U39" s="53"/>
      <c r="V39" s="150"/>
      <c r="W39" s="255"/>
      <c r="X39" s="150"/>
      <c r="Y39" s="22"/>
    </row>
    <row r="40" spans="1:25" ht="15" hidden="1">
      <c r="A40" s="22"/>
      <c r="B40" s="142"/>
      <c r="C40" s="204"/>
      <c r="D40" s="142"/>
      <c r="E40" s="144"/>
      <c r="F40" s="145"/>
      <c r="G40" s="144"/>
      <c r="H40" s="25"/>
      <c r="I40" s="146"/>
      <c r="J40" s="25"/>
      <c r="K40" s="147"/>
      <c r="L40" s="24"/>
      <c r="M40" s="145"/>
      <c r="N40" s="147"/>
      <c r="O40" s="148"/>
      <c r="P40" s="24"/>
      <c r="Q40" s="148"/>
      <c r="R40" s="149"/>
      <c r="S40" s="146"/>
      <c r="T40" s="149"/>
      <c r="U40" s="53"/>
      <c r="V40" s="150"/>
      <c r="W40" s="255"/>
      <c r="X40" s="150"/>
      <c r="Y40" s="22"/>
    </row>
    <row r="41" spans="1:25" ht="15" hidden="1" thickBot="1">
      <c r="A41" s="22"/>
      <c r="B41" s="142"/>
      <c r="C41" s="226"/>
      <c r="D41" s="142"/>
      <c r="E41" s="144"/>
      <c r="F41" s="145"/>
      <c r="G41" s="144"/>
      <c r="H41" s="25"/>
      <c r="I41" s="177"/>
      <c r="J41" s="25"/>
      <c r="K41" s="147"/>
      <c r="L41" s="24"/>
      <c r="M41" s="145"/>
      <c r="N41" s="147"/>
      <c r="O41" s="148"/>
      <c r="P41" s="24"/>
      <c r="Q41" s="148"/>
      <c r="R41" s="149"/>
      <c r="S41" s="146"/>
      <c r="T41" s="149"/>
      <c r="U41" s="53"/>
      <c r="V41" s="150"/>
      <c r="W41" s="255"/>
      <c r="X41" s="150"/>
      <c r="Y41" s="22"/>
    </row>
    <row r="42" spans="1:25" ht="15" thickBot="1">
      <c r="A42" s="22"/>
      <c r="B42" s="142"/>
      <c r="C42" s="227" t="s">
        <v>227</v>
      </c>
      <c r="D42" s="142"/>
      <c r="E42" s="144"/>
      <c r="F42" s="206" t="s">
        <v>66</v>
      </c>
      <c r="G42" s="144"/>
      <c r="H42" s="25"/>
      <c r="I42" s="233">
        <f>IF(OR(OR(ISBLANK(IF(OR(OR(ISBLANK(I39),I39=""),OR(ISBLANK(100),100="")),"",(I39/100))),IF(OR(OR(ISBLANK(I39),I39=""),OR(ISBLANK(100),100="")),"",(I39/100))=""),OR(ISBLANK('Income Statement'!I31),'Income Statement'!I31="")),"",(IF(OR(OR(ISBLANK(I39),I39=""),OR(ISBLANK(100),100="")),"",(I39/100))*'Income Statement'!I31))</f>
      </c>
      <c r="J42" s="25"/>
      <c r="K42" s="147"/>
      <c r="L42" s="24"/>
      <c r="M42" s="206"/>
      <c r="N42" s="147"/>
      <c r="O42" s="148"/>
      <c r="P42" s="179">
        <f>IF(TRUE,"PassBecauseNoConstraints","ERROR")</f>
      </c>
      <c r="Q42" s="148"/>
      <c r="R42" s="149"/>
      <c r="S42" s="207">
        <f>IF(TRUE,"","ERROR")</f>
      </c>
      <c r="T42" s="149"/>
      <c r="U42" s="53"/>
      <c r="V42" s="150"/>
      <c r="W42" s="255"/>
      <c r="X42" s="150"/>
      <c r="Y42" s="22"/>
    </row>
    <row r="43" spans="1:25" ht="15" hidden="1">
      <c r="A43" s="22"/>
      <c r="B43" s="142"/>
      <c r="C43" s="226"/>
      <c r="D43" s="142"/>
      <c r="E43" s="144"/>
      <c r="F43" s="145"/>
      <c r="G43" s="144"/>
      <c r="H43" s="25"/>
      <c r="I43" s="146"/>
      <c r="J43" s="25"/>
      <c r="K43" s="147"/>
      <c r="L43" s="24"/>
      <c r="M43" s="145"/>
      <c r="N43" s="147"/>
      <c r="O43" s="148"/>
      <c r="P43" s="24"/>
      <c r="Q43" s="148"/>
      <c r="R43" s="149"/>
      <c r="S43" s="146"/>
      <c r="T43" s="149"/>
      <c r="U43" s="53"/>
      <c r="V43" s="150"/>
      <c r="W43" s="255"/>
      <c r="X43" s="150"/>
      <c r="Y43" s="22"/>
    </row>
    <row r="44" spans="1:25" ht="15" customHeight="1">
      <c r="A44" s="22"/>
      <c r="B44" s="142"/>
      <c r="C44" s="201"/>
      <c r="D44" s="142"/>
      <c r="E44" s="144"/>
      <c r="F44" s="145"/>
      <c r="G44" s="144"/>
      <c r="H44" s="25"/>
      <c r="I44" s="146"/>
      <c r="J44" s="25"/>
      <c r="K44" s="147"/>
      <c r="L44" s="24"/>
      <c r="M44" s="145"/>
      <c r="N44" s="147"/>
      <c r="O44" s="148"/>
      <c r="P44" s="24"/>
      <c r="Q44" s="148"/>
      <c r="R44" s="149"/>
      <c r="S44" s="146"/>
      <c r="T44" s="149"/>
      <c r="U44" s="53"/>
      <c r="V44" s="150"/>
      <c r="W44" s="255"/>
      <c r="X44" s="150"/>
      <c r="Y44" s="22"/>
    </row>
    <row r="45" spans="1:25" ht="15" hidden="1">
      <c r="A45" s="22"/>
      <c r="B45" s="142"/>
      <c r="C45" s="200"/>
      <c r="D45" s="142"/>
      <c r="E45" s="144"/>
      <c r="F45" s="145"/>
      <c r="G45" s="144"/>
      <c r="H45" s="25"/>
      <c r="I45" s="146"/>
      <c r="J45" s="25"/>
      <c r="K45" s="147"/>
      <c r="L45" s="24"/>
      <c r="M45" s="145"/>
      <c r="N45" s="147"/>
      <c r="O45" s="148"/>
      <c r="P45" s="24"/>
      <c r="Q45" s="148"/>
      <c r="R45" s="149"/>
      <c r="S45" s="146"/>
      <c r="T45" s="149"/>
      <c r="U45" s="53"/>
      <c r="V45" s="150"/>
      <c r="W45" s="255"/>
      <c r="X45" s="150"/>
      <c r="Y45" s="22"/>
    </row>
    <row r="46" spans="1:25" ht="15" customHeight="1">
      <c r="A46" s="22"/>
      <c r="B46" s="142"/>
      <c r="C46" s="192"/>
      <c r="D46" s="142"/>
      <c r="E46" s="144"/>
      <c r="F46" s="145"/>
      <c r="G46" s="144"/>
      <c r="H46" s="25"/>
      <c r="I46" s="146"/>
      <c r="J46" s="25"/>
      <c r="K46" s="147"/>
      <c r="L46" s="24"/>
      <c r="M46" s="145"/>
      <c r="N46" s="147"/>
      <c r="O46" s="148"/>
      <c r="P46" s="24"/>
      <c r="Q46" s="148"/>
      <c r="R46" s="149"/>
      <c r="S46" s="146"/>
      <c r="T46" s="149"/>
      <c r="U46" s="53"/>
      <c r="V46" s="150"/>
      <c r="W46" s="255"/>
      <c r="X46" s="150"/>
      <c r="Y46" s="22"/>
    </row>
    <row r="47" spans="1:25" ht="15" hidden="1">
      <c r="A47" s="22"/>
      <c r="B47" s="142"/>
      <c r="C47" s="192"/>
      <c r="D47" s="142"/>
      <c r="E47" s="144"/>
      <c r="F47" s="145"/>
      <c r="G47" s="144"/>
      <c r="H47" s="25"/>
      <c r="I47" s="146"/>
      <c r="J47" s="25"/>
      <c r="K47" s="147"/>
      <c r="L47" s="24"/>
      <c r="M47" s="145"/>
      <c r="N47" s="147"/>
      <c r="O47" s="148"/>
      <c r="P47" s="24"/>
      <c r="Q47" s="148"/>
      <c r="R47" s="149"/>
      <c r="S47" s="146"/>
      <c r="T47" s="149"/>
      <c r="U47" s="53"/>
      <c r="V47" s="150"/>
      <c r="W47" s="255"/>
      <c r="X47" s="150"/>
      <c r="Y47" s="22"/>
    </row>
    <row r="48" spans="1:25" ht="15" hidden="1">
      <c r="A48" s="22"/>
      <c r="B48" s="142"/>
      <c r="C48" s="193"/>
      <c r="D48" s="142"/>
      <c r="E48" s="144"/>
      <c r="F48" s="145"/>
      <c r="G48" s="144"/>
      <c r="H48" s="25"/>
      <c r="I48" s="146"/>
      <c r="J48" s="25"/>
      <c r="K48" s="147"/>
      <c r="L48" s="24"/>
      <c r="M48" s="145"/>
      <c r="N48" s="147"/>
      <c r="O48" s="148"/>
      <c r="P48" s="24"/>
      <c r="Q48" s="148"/>
      <c r="R48" s="149"/>
      <c r="S48" s="146"/>
      <c r="T48" s="149"/>
      <c r="U48" s="53"/>
      <c r="V48" s="150"/>
      <c r="W48" s="255"/>
      <c r="X48" s="150"/>
      <c r="Y48" s="22"/>
    </row>
    <row r="49" spans="1:25" ht="21">
      <c r="A49" s="22"/>
      <c r="B49" s="142"/>
      <c r="C49" s="166" t="s">
        <v>226</v>
      </c>
      <c r="D49" s="142"/>
      <c r="E49" s="144"/>
      <c r="F49" s="145"/>
      <c r="G49" s="144"/>
      <c r="H49" s="25"/>
      <c r="I49" s="146"/>
      <c r="J49" s="25"/>
      <c r="K49" s="147"/>
      <c r="L49" s="24"/>
      <c r="M49" s="145"/>
      <c r="N49" s="147"/>
      <c r="O49" s="148"/>
      <c r="P49" s="24"/>
      <c r="Q49" s="148"/>
      <c r="R49" s="149"/>
      <c r="S49" s="146"/>
      <c r="T49" s="149"/>
      <c r="U49" s="53"/>
      <c r="V49" s="150"/>
      <c r="W49" s="255"/>
      <c r="X49" s="150"/>
      <c r="Y49" s="22"/>
    </row>
    <row r="50" spans="1:25" ht="7.5" customHeight="1">
      <c r="A50" s="22"/>
      <c r="B50" s="142"/>
      <c r="C50" s="193"/>
      <c r="D50" s="142"/>
      <c r="E50" s="144"/>
      <c r="F50" s="145"/>
      <c r="G50" s="144"/>
      <c r="H50" s="25"/>
      <c r="I50" s="146"/>
      <c r="J50" s="25"/>
      <c r="K50" s="147"/>
      <c r="L50" s="24"/>
      <c r="M50" s="145"/>
      <c r="N50" s="147"/>
      <c r="O50" s="148"/>
      <c r="P50" s="24"/>
      <c r="Q50" s="148"/>
      <c r="R50" s="149"/>
      <c r="S50" s="146"/>
      <c r="T50" s="149"/>
      <c r="U50" s="53"/>
      <c r="V50" s="150"/>
      <c r="W50" s="255"/>
      <c r="X50" s="150"/>
      <c r="Y50" s="22"/>
    </row>
    <row r="51" spans="1:25" ht="15" hidden="1">
      <c r="A51" s="22"/>
      <c r="B51" s="142"/>
      <c r="C51" s="200"/>
      <c r="D51" s="142"/>
      <c r="E51" s="144"/>
      <c r="F51" s="145"/>
      <c r="G51" s="144"/>
      <c r="H51" s="25"/>
      <c r="I51" s="146"/>
      <c r="J51" s="25"/>
      <c r="K51" s="147"/>
      <c r="L51" s="24"/>
      <c r="M51" s="145"/>
      <c r="N51" s="147"/>
      <c r="O51" s="148"/>
      <c r="P51" s="24"/>
      <c r="Q51" s="148"/>
      <c r="R51" s="149"/>
      <c r="S51" s="146"/>
      <c r="T51" s="149"/>
      <c r="U51" s="53"/>
      <c r="V51" s="150"/>
      <c r="W51" s="255"/>
      <c r="X51" s="150"/>
      <c r="Y51" s="22"/>
    </row>
    <row r="52" spans="1:25" ht="15" hidden="1">
      <c r="A52" s="22"/>
      <c r="B52" s="142"/>
      <c r="C52" s="201"/>
      <c r="D52" s="142"/>
      <c r="E52" s="144"/>
      <c r="F52" s="145"/>
      <c r="G52" s="144"/>
      <c r="H52" s="25"/>
      <c r="I52" s="146"/>
      <c r="J52" s="25"/>
      <c r="K52" s="147"/>
      <c r="L52" s="24"/>
      <c r="M52" s="145"/>
      <c r="N52" s="147"/>
      <c r="O52" s="148"/>
      <c r="P52" s="24"/>
      <c r="Q52" s="148"/>
      <c r="R52" s="149"/>
      <c r="S52" s="146"/>
      <c r="T52" s="149"/>
      <c r="U52" s="53"/>
      <c r="V52" s="150"/>
      <c r="W52" s="255"/>
      <c r="X52" s="150"/>
      <c r="Y52" s="22"/>
    </row>
    <row r="53" spans="1:25" ht="15" hidden="1">
      <c r="A53" s="22"/>
      <c r="B53" s="142"/>
      <c r="C53" s="202"/>
      <c r="D53" s="142"/>
      <c r="E53" s="144"/>
      <c r="F53" s="145"/>
      <c r="G53" s="144"/>
      <c r="H53" s="25"/>
      <c r="I53" s="146"/>
      <c r="J53" s="25"/>
      <c r="K53" s="147"/>
      <c r="L53" s="24"/>
      <c r="M53" s="145"/>
      <c r="N53" s="147"/>
      <c r="O53" s="148"/>
      <c r="P53" s="24"/>
      <c r="Q53" s="148"/>
      <c r="R53" s="149"/>
      <c r="S53" s="146"/>
      <c r="T53" s="149"/>
      <c r="U53" s="53"/>
      <c r="V53" s="150"/>
      <c r="W53" s="255"/>
      <c r="X53" s="150"/>
      <c r="Y53" s="22"/>
    </row>
    <row r="54" spans="1:25" ht="18.75">
      <c r="A54" s="22"/>
      <c r="B54" s="142"/>
      <c r="C54" s="203" t="s">
        <v>225</v>
      </c>
      <c r="D54" s="142"/>
      <c r="E54" s="144"/>
      <c r="F54" s="145"/>
      <c r="G54" s="144"/>
      <c r="H54" s="25"/>
      <c r="I54" s="146"/>
      <c r="J54" s="25"/>
      <c r="K54" s="147"/>
      <c r="L54" s="24"/>
      <c r="M54" s="145"/>
      <c r="N54" s="147"/>
      <c r="O54" s="148"/>
      <c r="P54" s="24"/>
      <c r="Q54" s="148"/>
      <c r="R54" s="149"/>
      <c r="S54" s="146"/>
      <c r="T54" s="149"/>
      <c r="U54" s="53"/>
      <c r="V54" s="150"/>
      <c r="W54" s="255"/>
      <c r="X54" s="150"/>
      <c r="Y54" s="22"/>
    </row>
    <row r="55" spans="1:25" ht="7.5" customHeight="1">
      <c r="A55" s="22"/>
      <c r="B55" s="142"/>
      <c r="C55" s="202"/>
      <c r="D55" s="142"/>
      <c r="E55" s="144"/>
      <c r="F55" s="145"/>
      <c r="G55" s="144"/>
      <c r="H55" s="25"/>
      <c r="I55" s="146"/>
      <c r="J55" s="25"/>
      <c r="K55" s="147"/>
      <c r="L55" s="24"/>
      <c r="M55" s="145"/>
      <c r="N55" s="147"/>
      <c r="O55" s="148"/>
      <c r="P55" s="24"/>
      <c r="Q55" s="148"/>
      <c r="R55" s="149"/>
      <c r="S55" s="146"/>
      <c r="T55" s="149"/>
      <c r="U55" s="53"/>
      <c r="V55" s="150"/>
      <c r="W55" s="255"/>
      <c r="X55" s="150"/>
      <c r="Y55" s="22"/>
    </row>
    <row r="56" spans="1:25" ht="15" hidden="1" thickBot="1">
      <c r="A56" s="22"/>
      <c r="B56" s="142"/>
      <c r="C56" s="204"/>
      <c r="D56" s="142"/>
      <c r="E56" s="144"/>
      <c r="F56" s="145"/>
      <c r="G56" s="144"/>
      <c r="H56" s="25"/>
      <c r="I56" s="177"/>
      <c r="J56" s="25"/>
      <c r="K56" s="147"/>
      <c r="L56" s="24"/>
      <c r="M56" s="145"/>
      <c r="N56" s="147"/>
      <c r="O56" s="148"/>
      <c r="P56" s="24"/>
      <c r="Q56" s="148"/>
      <c r="R56" s="149"/>
      <c r="S56" s="146"/>
      <c r="T56" s="149"/>
      <c r="U56" s="53"/>
      <c r="V56" s="150"/>
      <c r="W56" s="255"/>
      <c r="X56" s="150"/>
      <c r="Y56" s="22"/>
    </row>
    <row r="57" spans="1:25" ht="15">
      <c r="A57" s="22"/>
      <c r="B57" s="142"/>
      <c r="C57" s="205" t="s">
        <v>224</v>
      </c>
      <c r="D57" s="142"/>
      <c r="E57" s="144"/>
      <c r="F57" s="206"/>
      <c r="G57" s="144"/>
      <c r="H57" s="25"/>
      <c r="I57" s="294"/>
      <c r="J57" s="25"/>
      <c r="K57" s="147"/>
      <c r="L57" s="12">
        <f>HYPERLINK("#I57",CHAR(128))</f>
      </c>
      <c r="M57" s="145"/>
      <c r="N57" s="147"/>
      <c r="O57" s="148"/>
      <c r="P57" s="179">
        <f>IF(NOT(NOT(IF(ISERROR(I57),ERROR.TYPE(#REF!)=ERROR.TYPE(I57),FALSE))),"Fail",IF(NOT(NOT(ISBLANK(I57))),"Fail",IF(NOT(NOT(ISNA(HLOOKUP(I57,{"yes","no"},1,FALSE)))),"Fail","Pass")))</f>
      </c>
      <c r="Q57" s="148"/>
      <c r="R57" s="149"/>
      <c r="S57" s="207">
        <f>IF(NOT(NOT(IF(ISERROR(I57),ERROR.TYPE(#REF!)=ERROR.TYPE(I57),FALSE))),"UNDO NOW (use button or Ctrl+Z)! CANNOT DRAG-AND-DROP CELLS",IF(NOT(NOT(ISBLANK(I57))),"input required",IF(NOT(NOT(ISNA(HLOOKUP(I57,{"yes","no"},1,FALSE)))),"select a value from the drop-down","")))</f>
      </c>
      <c r="T57" s="149"/>
      <c r="U57" s="53"/>
      <c r="V57" s="150"/>
      <c r="W57" s="255"/>
      <c r="X57" s="150"/>
      <c r="Y57" s="22"/>
    </row>
    <row r="58" spans="1:25" ht="15">
      <c r="A58" s="22"/>
      <c r="B58" s="142"/>
      <c r="C58" s="205" t="s">
        <v>223</v>
      </c>
      <c r="D58" s="142"/>
      <c r="E58" s="144"/>
      <c r="F58" s="206"/>
      <c r="G58" s="144"/>
      <c r="H58" s="25"/>
      <c r="I58" s="295"/>
      <c r="J58" s="25"/>
      <c r="K58" s="147"/>
      <c r="L58" s="12">
        <f>HYPERLINK("#I58",CHAR(128))</f>
      </c>
      <c r="M58" s="145"/>
      <c r="N58" s="147"/>
      <c r="O58" s="148"/>
      <c r="P58" s="179">
        <f>IF(NOT(NOT(IF(ISERROR(I58),ERROR.TYPE(#REF!)=ERROR.TYPE(I58),FALSE))),"Fail",IF(NOT(NOT(ISBLANK(I58))),"Fail",IF(NOT(NOT(ISNA(HLOOKUP(I58,{"yes","no"},1,FALSE)))),"Fail","Pass")))</f>
      </c>
      <c r="Q58" s="148"/>
      <c r="R58" s="149"/>
      <c r="S58" s="207">
        <f>IF(NOT(NOT(IF(ISERROR(I58),ERROR.TYPE(#REF!)=ERROR.TYPE(I58),FALSE))),"UNDO NOW (use button or Ctrl+Z)! CANNOT DRAG-AND-DROP CELLS",IF(NOT(NOT(ISBLANK(I58))),"input required",IF(NOT(NOT(ISNA(HLOOKUP(I58,{"yes","no"},1,FALSE)))),"select a value from the drop-down","")))</f>
      </c>
      <c r="T58" s="149"/>
      <c r="U58" s="53"/>
      <c r="V58" s="150"/>
      <c r="W58" s="255"/>
      <c r="X58" s="150"/>
      <c r="Y58" s="22"/>
    </row>
    <row r="59" spans="1:25" ht="15">
      <c r="A59" s="22"/>
      <c r="B59" s="142"/>
      <c r="C59" s="205" t="s">
        <v>222</v>
      </c>
      <c r="D59" s="142"/>
      <c r="E59" s="144"/>
      <c r="F59" s="206"/>
      <c r="G59" s="144"/>
      <c r="H59" s="25"/>
      <c r="I59" s="295"/>
      <c r="J59" s="25"/>
      <c r="K59" s="147"/>
      <c r="L59" s="12">
        <f>HYPERLINK("#I59",CHAR(128))</f>
      </c>
      <c r="M59" s="145"/>
      <c r="N59" s="147"/>
      <c r="O59" s="148"/>
      <c r="P59" s="179">
        <f>IF(NOT(NOT(IF(ISERROR(I59),ERROR.TYPE(#REF!)=ERROR.TYPE(I59),FALSE))),"Fail",IF(NOT(NOT(ISBLANK(I59))),"Fail",IF(NOT(NOT(ISNA(HLOOKUP(I59,{"yes","no"},1,FALSE)))),"Fail","Pass")))</f>
      </c>
      <c r="Q59" s="148"/>
      <c r="R59" s="149"/>
      <c r="S59" s="207">
        <f>IF(NOT(NOT(IF(ISERROR(I59),ERROR.TYPE(#REF!)=ERROR.TYPE(I59),FALSE))),"UNDO NOW (use button or Ctrl+Z)! CANNOT DRAG-AND-DROP CELLS",IF(NOT(NOT(ISBLANK(I59))),"input required",IF(NOT(NOT(ISNA(HLOOKUP(I59,{"yes","no"},1,FALSE)))),"select a value from the drop-down","")))</f>
      </c>
      <c r="T59" s="149"/>
      <c r="U59" s="53"/>
      <c r="V59" s="150"/>
      <c r="W59" s="255"/>
      <c r="X59" s="150"/>
      <c r="Y59" s="22"/>
    </row>
    <row r="60" spans="1:25" ht="15">
      <c r="A60" s="22"/>
      <c r="B60" s="142"/>
      <c r="C60" s="205" t="s">
        <v>221</v>
      </c>
      <c r="D60" s="142"/>
      <c r="E60" s="144"/>
      <c r="F60" s="206"/>
      <c r="G60" s="144"/>
      <c r="H60" s="25"/>
      <c r="I60" s="295"/>
      <c r="J60" s="25"/>
      <c r="K60" s="147"/>
      <c r="L60" s="12">
        <f>HYPERLINK("#I60",CHAR(128))</f>
      </c>
      <c r="M60" s="145"/>
      <c r="N60" s="147"/>
      <c r="O60" s="148"/>
      <c r="P60" s="179">
        <f>IF(NOT(NOT(IF(ISERROR(I60),ERROR.TYPE(#REF!)=ERROR.TYPE(I60),FALSE))),"Fail",IF(NOT(NOT(ISBLANK(I60))),"Fail",IF(NOT(NOT(ISNA(HLOOKUP(I60,{"yes","no"},1,FALSE)))),"Fail","Pass")))</f>
      </c>
      <c r="Q60" s="148"/>
      <c r="R60" s="149"/>
      <c r="S60" s="207">
        <f>IF(NOT(NOT(IF(ISERROR(I60),ERROR.TYPE(#REF!)=ERROR.TYPE(I60),FALSE))),"UNDO NOW (use button or Ctrl+Z)! CANNOT DRAG-AND-DROP CELLS",IF(NOT(NOT(ISBLANK(I60))),"input required",IF(NOT(NOT(ISNA(HLOOKUP(I60,{"yes","no"},1,FALSE)))),"select a value from the drop-down","")))</f>
      </c>
      <c r="T60" s="149"/>
      <c r="U60" s="53"/>
      <c r="V60" s="150"/>
      <c r="W60" s="255"/>
      <c r="X60" s="150"/>
      <c r="Y60" s="22"/>
    </row>
    <row r="61" spans="1:25" ht="15">
      <c r="A61" s="22"/>
      <c r="B61" s="142"/>
      <c r="C61" s="205" t="s">
        <v>220</v>
      </c>
      <c r="D61" s="142"/>
      <c r="E61" s="144"/>
      <c r="F61" s="206"/>
      <c r="G61" s="144"/>
      <c r="H61" s="25"/>
      <c r="I61" s="295"/>
      <c r="J61" s="25"/>
      <c r="K61" s="147"/>
      <c r="L61" s="12">
        <f>HYPERLINK("#I61",CHAR(128))</f>
      </c>
      <c r="M61" s="145"/>
      <c r="N61" s="147"/>
      <c r="O61" s="148"/>
      <c r="P61" s="179">
        <f>IF(NOT(NOT(IF(ISERROR(I61),ERROR.TYPE(#REF!)=ERROR.TYPE(I61),FALSE))),"Fail",IF(NOT(NOT(ISBLANK(I61))),"Fail",IF(NOT(NOT(ISNA(HLOOKUP(I61,{"yes","no"},1,FALSE)))),"Fail","Pass")))</f>
      </c>
      <c r="Q61" s="148"/>
      <c r="R61" s="149"/>
      <c r="S61" s="207">
        <f>IF(NOT(NOT(IF(ISERROR(I61),ERROR.TYPE(#REF!)=ERROR.TYPE(I61),FALSE))),"UNDO NOW (use button or Ctrl+Z)! CANNOT DRAG-AND-DROP CELLS",IF(NOT(NOT(ISBLANK(I61))),"input required",IF(NOT(NOT(ISNA(HLOOKUP(I61,{"yes","no"},1,FALSE)))),"select a value from the drop-down","")))</f>
      </c>
      <c r="T61" s="149"/>
      <c r="U61" s="53"/>
      <c r="V61" s="150"/>
      <c r="W61" s="255"/>
      <c r="X61" s="150"/>
      <c r="Y61" s="22"/>
    </row>
    <row r="62" spans="1:25" ht="15">
      <c r="A62" s="22"/>
      <c r="B62" s="142"/>
      <c r="C62" s="205" t="s">
        <v>219</v>
      </c>
      <c r="D62" s="142"/>
      <c r="E62" s="144"/>
      <c r="F62" s="206"/>
      <c r="G62" s="144"/>
      <c r="H62" s="25"/>
      <c r="I62" s="295"/>
      <c r="J62" s="25"/>
      <c r="K62" s="147"/>
      <c r="L62" s="12">
        <f>HYPERLINK("#I62",CHAR(128))</f>
      </c>
      <c r="M62" s="145"/>
      <c r="N62" s="147"/>
      <c r="O62" s="148"/>
      <c r="P62" s="179">
        <f>IF(NOT(NOT(IF(ISERROR(I62),ERROR.TYPE(#REF!)=ERROR.TYPE(I62),FALSE))),"Fail",IF(NOT(NOT(ISBLANK(I62))),"Fail",IF(NOT(NOT(ISNA(HLOOKUP(I62,{"yes","no"},1,FALSE)))),"Fail","Pass")))</f>
      </c>
      <c r="Q62" s="148"/>
      <c r="R62" s="149"/>
      <c r="S62" s="207">
        <f>IF(NOT(NOT(IF(ISERROR(I62),ERROR.TYPE(#REF!)=ERROR.TYPE(I62),FALSE))),"UNDO NOW (use button or Ctrl+Z)! CANNOT DRAG-AND-DROP CELLS",IF(NOT(NOT(ISBLANK(I62))),"input required",IF(NOT(NOT(ISNA(HLOOKUP(I62,{"yes","no"},1,FALSE)))),"select a value from the drop-down","")))</f>
      </c>
      <c r="T62" s="149"/>
      <c r="U62" s="53"/>
      <c r="V62" s="150"/>
      <c r="W62" s="255"/>
      <c r="X62" s="150"/>
      <c r="Y62" s="22"/>
    </row>
    <row r="63" spans="1:25" ht="15">
      <c r="A63" s="22"/>
      <c r="B63" s="142"/>
      <c r="C63" s="205" t="s">
        <v>218</v>
      </c>
      <c r="D63" s="142"/>
      <c r="E63" s="144"/>
      <c r="F63" s="206"/>
      <c r="G63" s="144"/>
      <c r="H63" s="25"/>
      <c r="I63" s="295"/>
      <c r="J63" s="25"/>
      <c r="K63" s="147"/>
      <c r="L63" s="12">
        <f>HYPERLINK("#I63",CHAR(128))</f>
      </c>
      <c r="M63" s="145"/>
      <c r="N63" s="147"/>
      <c r="O63" s="148"/>
      <c r="P63" s="179">
        <f>IF(NOT(NOT(IF(ISERROR(I63),ERROR.TYPE(#REF!)=ERROR.TYPE(I63),FALSE))),"Fail",IF(NOT(NOT(ISBLANK(I63))),"Fail",IF(NOT(NOT(ISNA(HLOOKUP(I63,{"yes","no"},1,FALSE)))),"Fail","Pass")))</f>
      </c>
      <c r="Q63" s="148"/>
      <c r="R63" s="149"/>
      <c r="S63" s="207">
        <f>IF(NOT(NOT(IF(ISERROR(I63),ERROR.TYPE(#REF!)=ERROR.TYPE(I63),FALSE))),"UNDO NOW (use button or Ctrl+Z)! CANNOT DRAG-AND-DROP CELLS",IF(NOT(NOT(ISBLANK(I63))),"input required",IF(NOT(NOT(ISNA(HLOOKUP(I63,{"yes","no"},1,FALSE)))),"select a value from the drop-down","")))</f>
      </c>
      <c r="T63" s="149"/>
      <c r="U63" s="53"/>
      <c r="V63" s="150"/>
      <c r="W63" s="255"/>
      <c r="X63" s="150"/>
      <c r="Y63" s="22"/>
    </row>
    <row r="64" spans="1:25" ht="15" thickBot="1">
      <c r="A64" s="22"/>
      <c r="B64" s="142"/>
      <c r="C64" s="205" t="s">
        <v>217</v>
      </c>
      <c r="D64" s="142"/>
      <c r="E64" s="144"/>
      <c r="F64" s="206"/>
      <c r="G64" s="144"/>
      <c r="H64" s="25"/>
      <c r="I64" s="296"/>
      <c r="J64" s="25"/>
      <c r="K64" s="147"/>
      <c r="L64" s="12">
        <f>HYPERLINK("#I64",CHAR(128))</f>
      </c>
      <c r="M64" s="145"/>
      <c r="N64" s="147"/>
      <c r="O64" s="148"/>
      <c r="P64" s="179">
        <f>IF(NOT(NOT(IF(ISERROR(I64),ERROR.TYPE(#REF!)=ERROR.TYPE(I64),FALSE))),"Fail",IF(NOT(NOT(ISBLANK(I64))),"Fail",IF(NOT(NOT(ISNA(HLOOKUP(I64,{"yes","no"},1,FALSE)))),"Fail","Pass")))</f>
      </c>
      <c r="Q64" s="148"/>
      <c r="R64" s="149"/>
      <c r="S64" s="207">
        <f>IF(NOT(NOT(IF(ISERROR(I64),ERROR.TYPE(#REF!)=ERROR.TYPE(I64),FALSE))),"UNDO NOW (use button or Ctrl+Z)! CANNOT DRAG-AND-DROP CELLS",IF(NOT(NOT(ISBLANK(I64))),"input required",IF(NOT(NOT(ISNA(HLOOKUP(I64,{"yes","no"},1,FALSE)))),"select a value from the drop-down","")))</f>
      </c>
      <c r="T64" s="149"/>
      <c r="U64" s="53"/>
      <c r="V64" s="150"/>
      <c r="W64" s="255"/>
      <c r="X64" s="150"/>
      <c r="Y64" s="22"/>
    </row>
    <row r="65" spans="1:25" ht="15" hidden="1">
      <c r="A65" s="22"/>
      <c r="B65" s="142"/>
      <c r="C65" s="204"/>
      <c r="D65" s="142"/>
      <c r="E65" s="144"/>
      <c r="F65" s="145"/>
      <c r="G65" s="144"/>
      <c r="H65" s="25"/>
      <c r="I65" s="146"/>
      <c r="J65" s="25"/>
      <c r="K65" s="147"/>
      <c r="L65" s="24"/>
      <c r="M65" s="145"/>
      <c r="N65" s="147"/>
      <c r="O65" s="148"/>
      <c r="P65" s="24"/>
      <c r="Q65" s="148"/>
      <c r="R65" s="149"/>
      <c r="S65" s="146"/>
      <c r="T65" s="149"/>
      <c r="U65" s="53"/>
      <c r="V65" s="150"/>
      <c r="W65" s="255"/>
      <c r="X65" s="150"/>
      <c r="Y65" s="22"/>
    </row>
    <row r="66" spans="1:25" ht="15" customHeight="1">
      <c r="A66" s="22"/>
      <c r="B66" s="142"/>
      <c r="C66" s="201"/>
      <c r="D66" s="142"/>
      <c r="E66" s="144"/>
      <c r="F66" s="145"/>
      <c r="G66" s="144"/>
      <c r="H66" s="25"/>
      <c r="I66" s="146"/>
      <c r="J66" s="25"/>
      <c r="K66" s="147"/>
      <c r="L66" s="24"/>
      <c r="M66" s="145"/>
      <c r="N66" s="147"/>
      <c r="O66" s="148"/>
      <c r="P66" s="24"/>
      <c r="Q66" s="148"/>
      <c r="R66" s="149"/>
      <c r="S66" s="146"/>
      <c r="T66" s="149"/>
      <c r="U66" s="53"/>
      <c r="V66" s="150"/>
      <c r="W66" s="255"/>
      <c r="X66" s="150"/>
      <c r="Y66" s="22"/>
    </row>
    <row r="67" spans="1:25" ht="15" hidden="1">
      <c r="A67" s="22"/>
      <c r="B67" s="142"/>
      <c r="C67" s="200"/>
      <c r="D67" s="142"/>
      <c r="E67" s="144"/>
      <c r="F67" s="145"/>
      <c r="G67" s="144"/>
      <c r="H67" s="25"/>
      <c r="I67" s="146"/>
      <c r="J67" s="25"/>
      <c r="K67" s="147"/>
      <c r="L67" s="24"/>
      <c r="M67" s="145"/>
      <c r="N67" s="147"/>
      <c r="O67" s="148"/>
      <c r="P67" s="24"/>
      <c r="Q67" s="148"/>
      <c r="R67" s="149"/>
      <c r="S67" s="146"/>
      <c r="T67" s="149"/>
      <c r="U67" s="53"/>
      <c r="V67" s="150"/>
      <c r="W67" s="255"/>
      <c r="X67" s="150"/>
      <c r="Y67" s="22"/>
    </row>
    <row r="68" spans="1:25" ht="15" customHeight="1">
      <c r="A68" s="22"/>
      <c r="B68" s="142"/>
      <c r="C68" s="192"/>
      <c r="D68" s="142"/>
      <c r="E68" s="144"/>
      <c r="F68" s="145"/>
      <c r="G68" s="144"/>
      <c r="H68" s="25"/>
      <c r="I68" s="146"/>
      <c r="J68" s="25"/>
      <c r="K68" s="147"/>
      <c r="L68" s="24"/>
      <c r="M68" s="145"/>
      <c r="N68" s="147"/>
      <c r="O68" s="148"/>
      <c r="P68" s="24"/>
      <c r="Q68" s="148"/>
      <c r="R68" s="149"/>
      <c r="S68" s="146"/>
      <c r="T68" s="149"/>
      <c r="U68" s="53"/>
      <c r="V68" s="150"/>
      <c r="W68" s="255"/>
      <c r="X68" s="150"/>
      <c r="Y68" s="22"/>
    </row>
    <row r="69" spans="1:25" ht="15" hidden="1">
      <c r="A69" s="22"/>
      <c r="B69" s="142"/>
      <c r="C69" s="192"/>
      <c r="D69" s="142"/>
      <c r="E69" s="144"/>
      <c r="F69" s="145"/>
      <c r="G69" s="144"/>
      <c r="H69" s="25"/>
      <c r="I69" s="146"/>
      <c r="J69" s="25"/>
      <c r="K69" s="147"/>
      <c r="L69" s="24"/>
      <c r="M69" s="145"/>
      <c r="N69" s="147"/>
      <c r="O69" s="148"/>
      <c r="P69" s="24"/>
      <c r="Q69" s="148"/>
      <c r="R69" s="149"/>
      <c r="S69" s="146"/>
      <c r="T69" s="149"/>
      <c r="U69" s="53"/>
      <c r="V69" s="150"/>
      <c r="W69" s="255"/>
      <c r="X69" s="150"/>
      <c r="Y69" s="22"/>
    </row>
    <row r="70" spans="1:25" ht="15" hidden="1">
      <c r="A70" s="22"/>
      <c r="B70" s="142"/>
      <c r="C70" s="193"/>
      <c r="D70" s="142"/>
      <c r="E70" s="144"/>
      <c r="F70" s="145"/>
      <c r="G70" s="144"/>
      <c r="H70" s="25"/>
      <c r="I70" s="146"/>
      <c r="J70" s="25"/>
      <c r="K70" s="147"/>
      <c r="L70" s="24"/>
      <c r="M70" s="145"/>
      <c r="N70" s="147"/>
      <c r="O70" s="148"/>
      <c r="P70" s="24"/>
      <c r="Q70" s="148"/>
      <c r="R70" s="149"/>
      <c r="S70" s="146"/>
      <c r="T70" s="149"/>
      <c r="U70" s="53"/>
      <c r="V70" s="150"/>
      <c r="W70" s="255"/>
      <c r="X70" s="150"/>
      <c r="Y70" s="22"/>
    </row>
    <row r="71" spans="1:25" ht="21">
      <c r="A71" s="22"/>
      <c r="B71" s="142"/>
      <c r="C71" s="166" t="s">
        <v>216</v>
      </c>
      <c r="D71" s="142"/>
      <c r="E71" s="144"/>
      <c r="F71" s="145"/>
      <c r="G71" s="144"/>
      <c r="H71" s="25"/>
      <c r="I71" s="146"/>
      <c r="J71" s="25"/>
      <c r="K71" s="147"/>
      <c r="L71" s="24"/>
      <c r="M71" s="145"/>
      <c r="N71" s="147"/>
      <c r="O71" s="148"/>
      <c r="P71" s="24"/>
      <c r="Q71" s="148"/>
      <c r="R71" s="149"/>
      <c r="S71" s="146"/>
      <c r="T71" s="149"/>
      <c r="U71" s="53"/>
      <c r="V71" s="150"/>
      <c r="W71" s="255"/>
      <c r="X71" s="150"/>
      <c r="Y71" s="22"/>
    </row>
    <row r="72" spans="1:25" ht="7.5" customHeight="1">
      <c r="A72" s="22"/>
      <c r="B72" s="142"/>
      <c r="C72" s="193"/>
      <c r="D72" s="142"/>
      <c r="E72" s="144"/>
      <c r="F72" s="145"/>
      <c r="G72" s="144"/>
      <c r="H72" s="25"/>
      <c r="I72" s="146"/>
      <c r="J72" s="25"/>
      <c r="K72" s="147"/>
      <c r="L72" s="24"/>
      <c r="M72" s="145"/>
      <c r="N72" s="147"/>
      <c r="O72" s="148"/>
      <c r="P72" s="24"/>
      <c r="Q72" s="148"/>
      <c r="R72" s="149"/>
      <c r="S72" s="146"/>
      <c r="T72" s="149"/>
      <c r="U72" s="53"/>
      <c r="V72" s="150"/>
      <c r="W72" s="255"/>
      <c r="X72" s="150"/>
      <c r="Y72" s="22"/>
    </row>
    <row r="73" spans="1:25" ht="15" hidden="1">
      <c r="A73" s="22"/>
      <c r="B73" s="142"/>
      <c r="C73" s="200"/>
      <c r="D73" s="142"/>
      <c r="E73" s="144"/>
      <c r="F73" s="145"/>
      <c r="G73" s="144"/>
      <c r="H73" s="25"/>
      <c r="I73" s="146"/>
      <c r="J73" s="25"/>
      <c r="K73" s="147"/>
      <c r="L73" s="24"/>
      <c r="M73" s="145"/>
      <c r="N73" s="147"/>
      <c r="O73" s="148"/>
      <c r="P73" s="24"/>
      <c r="Q73" s="148"/>
      <c r="R73" s="149"/>
      <c r="S73" s="146"/>
      <c r="T73" s="149"/>
      <c r="U73" s="53"/>
      <c r="V73" s="150"/>
      <c r="W73" s="255"/>
      <c r="X73" s="150"/>
      <c r="Y73" s="22"/>
    </row>
    <row r="74" spans="1:25" ht="15" hidden="1">
      <c r="A74" s="22"/>
      <c r="B74" s="142"/>
      <c r="C74" s="201"/>
      <c r="D74" s="142"/>
      <c r="E74" s="144"/>
      <c r="F74" s="145"/>
      <c r="G74" s="144"/>
      <c r="H74" s="25"/>
      <c r="I74" s="146"/>
      <c r="J74" s="25"/>
      <c r="K74" s="147"/>
      <c r="L74" s="24"/>
      <c r="M74" s="145"/>
      <c r="N74" s="147"/>
      <c r="O74" s="148"/>
      <c r="P74" s="24"/>
      <c r="Q74" s="148"/>
      <c r="R74" s="149"/>
      <c r="S74" s="146"/>
      <c r="T74" s="149"/>
      <c r="U74" s="53"/>
      <c r="V74" s="150"/>
      <c r="W74" s="255"/>
      <c r="X74" s="150"/>
      <c r="Y74" s="22"/>
    </row>
    <row r="75" spans="1:25" ht="15" hidden="1" thickBot="1">
      <c r="A75" s="22"/>
      <c r="B75" s="142"/>
      <c r="C75" s="226"/>
      <c r="D75" s="142"/>
      <c r="E75" s="144"/>
      <c r="F75" s="145"/>
      <c r="G75" s="144"/>
      <c r="H75" s="25"/>
      <c r="I75" s="177"/>
      <c r="J75" s="25"/>
      <c r="K75" s="147"/>
      <c r="L75" s="24"/>
      <c r="M75" s="145"/>
      <c r="N75" s="147"/>
      <c r="O75" s="148"/>
      <c r="P75" s="24"/>
      <c r="Q75" s="148"/>
      <c r="R75" s="149"/>
      <c r="S75" s="146"/>
      <c r="T75" s="149"/>
      <c r="U75" s="53"/>
      <c r="V75" s="150"/>
      <c r="W75" s="255"/>
      <c r="X75" s="150"/>
      <c r="Y75" s="22"/>
    </row>
    <row r="76" spans="1:25" ht="15" thickBot="1">
      <c r="A76" s="22"/>
      <c r="B76" s="142"/>
      <c r="C76" s="227" t="s">
        <v>215</v>
      </c>
      <c r="D76" s="142"/>
      <c r="E76" s="144"/>
      <c r="F76" s="206" t="s">
        <v>66</v>
      </c>
      <c r="G76" s="144"/>
      <c r="H76" s="25"/>
      <c r="I76" s="233">
        <f>'Income Statement'!I31</f>
      </c>
      <c r="J76" s="25"/>
      <c r="K76" s="147"/>
      <c r="L76" s="24"/>
      <c r="M76" s="206"/>
      <c r="N76" s="147"/>
      <c r="O76" s="148"/>
      <c r="P76" s="179">
        <f>IF(TRUE,"PassBecauseNoConstraints","ERROR")</f>
      </c>
      <c r="Q76" s="148"/>
      <c r="R76" s="149"/>
      <c r="S76" s="207">
        <f>IF(TRUE,"","ERROR")</f>
      </c>
      <c r="T76" s="149"/>
      <c r="U76" s="53"/>
      <c r="V76" s="150"/>
      <c r="W76" s="255"/>
      <c r="X76" s="150"/>
      <c r="Y76" s="22"/>
    </row>
    <row r="77" spans="1:25" ht="15" hidden="1">
      <c r="A77" s="22"/>
      <c r="B77" s="142"/>
      <c r="C77" s="226"/>
      <c r="D77" s="142"/>
      <c r="E77" s="144"/>
      <c r="F77" s="145"/>
      <c r="G77" s="144"/>
      <c r="H77" s="25"/>
      <c r="I77" s="146"/>
      <c r="J77" s="25"/>
      <c r="K77" s="147"/>
      <c r="L77" s="24"/>
      <c r="M77" s="145"/>
      <c r="N77" s="147"/>
      <c r="O77" s="148"/>
      <c r="P77" s="24"/>
      <c r="Q77" s="148"/>
      <c r="R77" s="149"/>
      <c r="S77" s="146"/>
      <c r="T77" s="149"/>
      <c r="U77" s="53"/>
      <c r="V77" s="150"/>
      <c r="W77" s="255"/>
      <c r="X77" s="150"/>
      <c r="Y77" s="22"/>
    </row>
    <row r="78" spans="1:25" ht="15" customHeight="1">
      <c r="A78" s="22"/>
      <c r="B78" s="142"/>
      <c r="C78" s="201"/>
      <c r="D78" s="142"/>
      <c r="E78" s="144"/>
      <c r="F78" s="145"/>
      <c r="G78" s="144"/>
      <c r="H78" s="25"/>
      <c r="I78" s="146"/>
      <c r="J78" s="25"/>
      <c r="K78" s="147"/>
      <c r="L78" s="24"/>
      <c r="M78" s="145"/>
      <c r="N78" s="147"/>
      <c r="O78" s="148"/>
      <c r="P78" s="24"/>
      <c r="Q78" s="148"/>
      <c r="R78" s="149"/>
      <c r="S78" s="146"/>
      <c r="T78" s="149"/>
      <c r="U78" s="53"/>
      <c r="V78" s="150"/>
      <c r="W78" s="255"/>
      <c r="X78" s="150"/>
      <c r="Y78" s="22"/>
    </row>
    <row r="79" spans="1:25" ht="15" hidden="1">
      <c r="A79" s="22"/>
      <c r="B79" s="142"/>
      <c r="C79" s="201"/>
      <c r="D79" s="142"/>
      <c r="E79" s="144"/>
      <c r="F79" s="145"/>
      <c r="G79" s="144"/>
      <c r="H79" s="25"/>
      <c r="I79" s="146"/>
      <c r="J79" s="25"/>
      <c r="K79" s="147"/>
      <c r="L79" s="24"/>
      <c r="M79" s="145"/>
      <c r="N79" s="147"/>
      <c r="O79" s="148"/>
      <c r="P79" s="24"/>
      <c r="Q79" s="148"/>
      <c r="R79" s="149"/>
      <c r="S79" s="146"/>
      <c r="T79" s="149"/>
      <c r="U79" s="53"/>
      <c r="V79" s="150"/>
      <c r="W79" s="255"/>
      <c r="X79" s="150"/>
      <c r="Y79" s="22"/>
    </row>
    <row r="80" spans="1:25" ht="15" hidden="1" thickBot="1">
      <c r="A80" s="22"/>
      <c r="B80" s="142"/>
      <c r="C80" s="204"/>
      <c r="D80" s="142"/>
      <c r="E80" s="144"/>
      <c r="F80" s="145"/>
      <c r="G80" s="144"/>
      <c r="H80" s="25"/>
      <c r="I80" s="177"/>
      <c r="J80" s="25"/>
      <c r="K80" s="147"/>
      <c r="L80" s="24"/>
      <c r="M80" s="145"/>
      <c r="N80" s="147"/>
      <c r="O80" s="148"/>
      <c r="P80" s="24"/>
      <c r="Q80" s="148"/>
      <c r="R80" s="149"/>
      <c r="S80" s="146"/>
      <c r="T80" s="149"/>
      <c r="U80" s="53"/>
      <c r="V80" s="150"/>
      <c r="W80" s="255"/>
      <c r="X80" s="150"/>
      <c r="Y80" s="22"/>
    </row>
    <row r="81" spans="1:25" ht="15">
      <c r="A81" s="22"/>
      <c r="B81" s="142"/>
      <c r="C81" s="205" t="s">
        <v>214</v>
      </c>
      <c r="D81" s="142"/>
      <c r="E81" s="144"/>
      <c r="F81" s="206" t="s">
        <v>66</v>
      </c>
      <c r="G81" s="144"/>
      <c r="H81" s="25"/>
      <c r="I81" s="258"/>
      <c r="J81" s="25"/>
      <c r="K81" s="147"/>
      <c r="L81" s="24"/>
      <c r="M81" s="206"/>
      <c r="N81" s="147"/>
      <c r="O81" s="148"/>
      <c r="P81" s="179">
        <f>IF(NOT(NOT(IF(ISERROR(I81),ERROR.TYPE(#REF!)=ERROR.TYPE(I81),FALSE))),"Fail",IF(NOT(NOT(ISBLANK(I81))),"Fail",IF(NOT(ISNUMBER(I81)),"Fail",IF(NOT(LEN(I81)-FIND(".",I81&amp;".")&lt;=0),"Fail",IF(NOT(OR(I81=0,I81&gt;100)),"Fail","Pass")))))</f>
      </c>
      <c r="Q81" s="148"/>
      <c r="R81" s="149"/>
      <c r="S81" s="207">
        <f>IF(NOT(NOT(IF(ISERROR(I81),ERROR.TYPE(#REF!)=ERROR.TYPE(I81),FALSE))),"UNDO NOW (use button or Ctrl+Z)! CANNOT DRAG-AND-DROP CELLS",IF(NOT(NOT(ISBLANK(I81))),"input required",IF(NOT(ISNUMBER(I81)),"enter a number",IF(NOT(LEN(I81)-FIND(".",I81&amp;".")&lt;=0),"whole number only",IF(NOT(OR(I81=0,I81&gt;100)),"must be 0 or &gt; 100","")))))</f>
      </c>
      <c r="T81" s="149"/>
      <c r="U81" s="53"/>
      <c r="V81" s="150"/>
      <c r="W81" s="255"/>
      <c r="X81" s="150"/>
      <c r="Y81" s="22"/>
    </row>
    <row r="82" spans="1:25" ht="15">
      <c r="A82" s="22"/>
      <c r="B82" s="142"/>
      <c r="C82" s="205" t="s">
        <v>213</v>
      </c>
      <c r="D82" s="142"/>
      <c r="E82" s="144"/>
      <c r="F82" s="206" t="s">
        <v>66</v>
      </c>
      <c r="G82" s="144"/>
      <c r="H82" s="25"/>
      <c r="I82" s="260"/>
      <c r="J82" s="25"/>
      <c r="K82" s="147"/>
      <c r="L82" s="24"/>
      <c r="M82" s="206"/>
      <c r="N82" s="147"/>
      <c r="O82" s="148"/>
      <c r="P82" s="179">
        <f>IF(NOT(NOT(IF(ISERROR(I82),ERROR.TYPE(#REF!)=ERROR.TYPE(I82),FALSE))),"Fail",IF(NOT(NOT(ISBLANK(I82))),"Fail",IF(NOT(ISNUMBER(I82)),"Fail",IF(NOT(LEN(I82)-FIND(".",I82&amp;".")&lt;=0),"Fail",IF(NOT(OR(I82=0,I82&gt;100)),"Fail","Pass")))))</f>
      </c>
      <c r="Q82" s="148"/>
      <c r="R82" s="149"/>
      <c r="S82" s="207">
        <f>IF(NOT(NOT(IF(ISERROR(I82),ERROR.TYPE(#REF!)=ERROR.TYPE(I82),FALSE))),"UNDO NOW (use button or Ctrl+Z)! CANNOT DRAG-AND-DROP CELLS",IF(NOT(NOT(ISBLANK(I82))),"input required",IF(NOT(ISNUMBER(I82)),"enter a number",IF(NOT(LEN(I82)-FIND(".",I82&amp;".")&lt;=0),"whole number only",IF(NOT(OR(I82=0,I82&gt;100)),"must be 0 or &gt; 100","")))))</f>
      </c>
      <c r="T82" s="149"/>
      <c r="U82" s="53"/>
      <c r="V82" s="150"/>
      <c r="W82" s="255"/>
      <c r="X82" s="150"/>
      <c r="Y82" s="22"/>
    </row>
    <row r="83" spans="1:25" ht="15">
      <c r="A83" s="22"/>
      <c r="B83" s="142"/>
      <c r="C83" s="205" t="s">
        <v>212</v>
      </c>
      <c r="D83" s="142"/>
      <c r="E83" s="144"/>
      <c r="F83" s="206" t="s">
        <v>66</v>
      </c>
      <c r="G83" s="144"/>
      <c r="H83" s="25"/>
      <c r="I83" s="260"/>
      <c r="J83" s="25"/>
      <c r="K83" s="147"/>
      <c r="L83" s="24"/>
      <c r="M83" s="206"/>
      <c r="N83" s="147"/>
      <c r="O83" s="148"/>
      <c r="P83" s="179">
        <f>IF(NOT(NOT(IF(ISERROR(I83),ERROR.TYPE(#REF!)=ERROR.TYPE(I83),FALSE))),"Fail",IF(NOT(NOT(ISBLANK(I83))),"Fail",IF(NOT(ISNUMBER(I83)),"Fail",IF(NOT(LEN(I83)-FIND(".",I83&amp;".")&lt;=0),"Fail",IF(NOT(OR(I83=0,I83&gt;100)),"Fail","Pass")))))</f>
      </c>
      <c r="Q83" s="148"/>
      <c r="R83" s="149"/>
      <c r="S83" s="207">
        <f>IF(NOT(NOT(IF(ISERROR(I83),ERROR.TYPE(#REF!)=ERROR.TYPE(I83),FALSE))),"UNDO NOW (use button or Ctrl+Z)! CANNOT DRAG-AND-DROP CELLS",IF(NOT(NOT(ISBLANK(I83))),"input required",IF(NOT(ISNUMBER(I83)),"enter a number",IF(NOT(LEN(I83)-FIND(".",I83&amp;".")&lt;=0),"whole number only",IF(NOT(OR(I83=0,I83&gt;100)),"must be 0 or &gt; 100","")))))</f>
      </c>
      <c r="T83" s="149"/>
      <c r="U83" s="53"/>
      <c r="V83" s="150"/>
      <c r="W83" s="255"/>
      <c r="X83" s="150"/>
      <c r="Y83" s="22"/>
    </row>
    <row r="84" spans="1:25" ht="15">
      <c r="A84" s="22"/>
      <c r="B84" s="142"/>
      <c r="C84" s="205" t="s">
        <v>211</v>
      </c>
      <c r="D84" s="142"/>
      <c r="E84" s="144"/>
      <c r="F84" s="206" t="s">
        <v>66</v>
      </c>
      <c r="G84" s="144"/>
      <c r="H84" s="25"/>
      <c r="I84" s="260"/>
      <c r="J84" s="25"/>
      <c r="K84" s="147"/>
      <c r="L84" s="24"/>
      <c r="M84" s="206"/>
      <c r="N84" s="147"/>
      <c r="O84" s="148"/>
      <c r="P84" s="179">
        <f>IF(NOT(NOT(IF(ISERROR(I84),ERROR.TYPE(#REF!)=ERROR.TYPE(I84),FALSE))),"Fail",IF(NOT(NOT(ISBLANK(I84))),"Fail",IF(NOT(ISNUMBER(I84)),"Fail",IF(NOT(LEN(I84)-FIND(".",I84&amp;".")&lt;=0),"Fail",IF(NOT(OR(I84=0,I84&gt;100)),"Fail","Pass")))))</f>
      </c>
      <c r="Q84" s="148"/>
      <c r="R84" s="149"/>
      <c r="S84" s="207">
        <f>IF(NOT(NOT(IF(ISERROR(I84),ERROR.TYPE(#REF!)=ERROR.TYPE(I84),FALSE))),"UNDO NOW (use button or Ctrl+Z)! CANNOT DRAG-AND-DROP CELLS",IF(NOT(NOT(ISBLANK(I84))),"input required",IF(NOT(ISNUMBER(I84)),"enter a number",IF(NOT(LEN(I84)-FIND(".",I84&amp;".")&lt;=0),"whole number only",IF(NOT(OR(I84=0,I84&gt;100)),"must be 0 or &gt; 100","")))))</f>
      </c>
      <c r="T84" s="149"/>
      <c r="U84" s="53"/>
      <c r="V84" s="150"/>
      <c r="W84" s="255"/>
      <c r="X84" s="150"/>
      <c r="Y84" s="22"/>
    </row>
    <row r="85" spans="1:25" ht="15">
      <c r="A85" s="22"/>
      <c r="B85" s="142"/>
      <c r="C85" s="205" t="s">
        <v>209</v>
      </c>
      <c r="D85" s="142"/>
      <c r="E85" s="144"/>
      <c r="F85" s="206" t="s">
        <v>66</v>
      </c>
      <c r="G85" s="144"/>
      <c r="H85" s="25"/>
      <c r="I85" s="260"/>
      <c r="J85" s="25"/>
      <c r="K85" s="147"/>
      <c r="L85" s="24"/>
      <c r="M85" s="206"/>
      <c r="N85" s="147"/>
      <c r="O85" s="148"/>
      <c r="P85" s="179">
        <f>IF(NOT(NOT(IF(ISERROR(I85),ERROR.TYPE(#REF!)=ERROR.TYPE(I85),FALSE))),"Fail",IF(NOT(NOT(ISBLANK(I85))),"Fail",IF(NOT(ISNUMBER(I85)),"Fail",IF(NOT(LEN(I85)-FIND(".",I85&amp;".")&lt;=0),"Fail",IF(NOT(OR(I85=0,I85&gt;100)),"Fail","Pass")))))</f>
      </c>
      <c r="Q85" s="148"/>
      <c r="R85" s="149"/>
      <c r="S85" s="207">
        <f>IF(NOT(NOT(IF(ISERROR(I85),ERROR.TYPE(#REF!)=ERROR.TYPE(I85),FALSE))),"UNDO NOW (use button or Ctrl+Z)! CANNOT DRAG-AND-DROP CELLS",IF(NOT(NOT(ISBLANK(I85))),"input required",IF(NOT(ISNUMBER(I85)),"enter a number",IF(NOT(LEN(I85)-FIND(".",I85&amp;".")&lt;=0),"whole number only",IF(NOT(OR(I85=0,I85&gt;100)),"must be 0 or &gt; 100","")))))</f>
      </c>
      <c r="T85" s="149"/>
      <c r="U85" s="53"/>
      <c r="V85" s="150"/>
      <c r="W85" s="255"/>
      <c r="X85" s="150"/>
      <c r="Y85" s="22"/>
    </row>
    <row r="86" spans="1:25" ht="15">
      <c r="A86" s="22"/>
      <c r="B86" s="142"/>
      <c r="C86" s="205" t="s">
        <v>208</v>
      </c>
      <c r="D86" s="142"/>
      <c r="E86" s="144"/>
      <c r="F86" s="206" t="s">
        <v>66</v>
      </c>
      <c r="G86" s="144"/>
      <c r="H86" s="25"/>
      <c r="I86" s="260"/>
      <c r="J86" s="25"/>
      <c r="K86" s="147"/>
      <c r="L86" s="24"/>
      <c r="M86" s="206"/>
      <c r="N86" s="147"/>
      <c r="O86" s="148"/>
      <c r="P86" s="179">
        <f>IF(NOT(NOT(IF(ISERROR(I86),ERROR.TYPE(#REF!)=ERROR.TYPE(I86),FALSE))),"Fail",IF(NOT(NOT(ISBLANK(I86))),"Fail",IF(NOT(ISNUMBER(I86)),"Fail",IF(NOT(LEN(I86)-FIND(".",I86&amp;".")&lt;=0),"Fail",IF(NOT(OR(I86=0,I86&gt;100)),"Fail","Pass")))))</f>
      </c>
      <c r="Q86" s="148"/>
      <c r="R86" s="149"/>
      <c r="S86" s="207">
        <f>IF(NOT(NOT(IF(ISERROR(I86),ERROR.TYPE(#REF!)=ERROR.TYPE(I86),FALSE))),"UNDO NOW (use button or Ctrl+Z)! CANNOT DRAG-AND-DROP CELLS",IF(NOT(NOT(ISBLANK(I86))),"input required",IF(NOT(ISNUMBER(I86)),"enter a number",IF(NOT(LEN(I86)-FIND(".",I86&amp;".")&lt;=0),"whole number only",IF(NOT(OR(I86=0,I86&gt;100)),"must be 0 or &gt; 100","")))))</f>
      </c>
      <c r="T86" s="149"/>
      <c r="U86" s="53"/>
      <c r="V86" s="150"/>
      <c r="W86" s="255"/>
      <c r="X86" s="150"/>
      <c r="Y86" s="22"/>
    </row>
    <row r="87" spans="1:25" ht="15">
      <c r="A87" s="22"/>
      <c r="B87" s="142"/>
      <c r="C87" s="205" t="s">
        <v>207</v>
      </c>
      <c r="D87" s="142"/>
      <c r="E87" s="144"/>
      <c r="F87" s="206" t="s">
        <v>66</v>
      </c>
      <c r="G87" s="144"/>
      <c r="H87" s="25"/>
      <c r="I87" s="260"/>
      <c r="J87" s="25"/>
      <c r="K87" s="147"/>
      <c r="L87" s="24"/>
      <c r="M87" s="206"/>
      <c r="N87" s="147"/>
      <c r="O87" s="148"/>
      <c r="P87" s="179">
        <f>IF(NOT(NOT(IF(ISERROR(I87),ERROR.TYPE(#REF!)=ERROR.TYPE(I87),FALSE))),"Fail",IF(NOT(NOT(ISBLANK(I87))),"Fail",IF(NOT(ISNUMBER(I87)),"Fail",IF(NOT(LEN(I87)-FIND(".",I87&amp;".")&lt;=0),"Fail",IF(NOT(OR(I87=0,I87&gt;100)),"Fail","Pass")))))</f>
      </c>
      <c r="Q87" s="148"/>
      <c r="R87" s="149"/>
      <c r="S87" s="207">
        <f>IF(NOT(NOT(IF(ISERROR(I87),ERROR.TYPE(#REF!)=ERROR.TYPE(I87),FALSE))),"UNDO NOW (use button or Ctrl+Z)! CANNOT DRAG-AND-DROP CELLS",IF(NOT(NOT(ISBLANK(I87))),"input required",IF(NOT(ISNUMBER(I87)),"enter a number",IF(NOT(LEN(I87)-FIND(".",I87&amp;".")&lt;=0),"whole number only",IF(NOT(OR(I87=0,I87&gt;100)),"must be 0 or &gt; 100","")))))</f>
      </c>
      <c r="T87" s="149"/>
      <c r="U87" s="53"/>
      <c r="V87" s="150"/>
      <c r="W87" s="255"/>
      <c r="X87" s="150"/>
      <c r="Y87" s="22"/>
    </row>
    <row r="88" spans="1:25" ht="30">
      <c r="A88" s="22"/>
      <c r="B88" s="142"/>
      <c r="C88" s="205" t="s">
        <v>206</v>
      </c>
      <c r="D88" s="142"/>
      <c r="E88" s="144"/>
      <c r="F88" s="206" t="s">
        <v>66</v>
      </c>
      <c r="G88" s="144"/>
      <c r="H88" s="25"/>
      <c r="I88" s="260"/>
      <c r="J88" s="25"/>
      <c r="K88" s="147"/>
      <c r="L88" s="24"/>
      <c r="M88" s="206"/>
      <c r="N88" s="147"/>
      <c r="O88" s="148"/>
      <c r="P88" s="179">
        <f>IF(NOT(NOT(IF(ISERROR(I88),ERROR.TYPE(#REF!)=ERROR.TYPE(I88),FALSE))),"Fail",IF(NOT(NOT(ISBLANK(I88))),"Fail",IF(NOT(ISNUMBER(I88)),"Fail",IF(NOT(LEN(I88)-FIND(".",I88&amp;".")&lt;=0),"Fail",IF(NOT(OR(I88=0,I88&gt;100)),"Fail","Pass")))))</f>
      </c>
      <c r="Q88" s="148"/>
      <c r="R88" s="149"/>
      <c r="S88" s="207">
        <f>IF(NOT(NOT(IF(ISERROR(I88),ERROR.TYPE(#REF!)=ERROR.TYPE(I88),FALSE))),"UNDO NOW (use button or Ctrl+Z)! CANNOT DRAG-AND-DROP CELLS",IF(NOT(NOT(ISBLANK(I88))),"input required",IF(NOT(ISNUMBER(I88)),"enter a number",IF(NOT(LEN(I88)-FIND(".",I88&amp;".")&lt;=0),"whole number only",IF(NOT(OR(I88=0,I88&gt;100)),"must be 0 or &gt; 100","")))))</f>
      </c>
      <c r="T88" s="149"/>
      <c r="U88" s="53"/>
      <c r="V88" s="150"/>
      <c r="W88" s="255"/>
      <c r="X88" s="150"/>
      <c r="Y88" s="22"/>
    </row>
    <row r="89" spans="1:25" ht="15" thickBot="1">
      <c r="A89" s="22"/>
      <c r="B89" s="142"/>
      <c r="C89" s="205" t="s">
        <v>205</v>
      </c>
      <c r="D89" s="142"/>
      <c r="E89" s="144"/>
      <c r="F89" s="206" t="s">
        <v>66</v>
      </c>
      <c r="G89" s="144"/>
      <c r="H89" s="25"/>
      <c r="I89" s="259"/>
      <c r="J89" s="25"/>
      <c r="K89" s="147"/>
      <c r="L89" s="24"/>
      <c r="M89" s="206"/>
      <c r="N89" s="147"/>
      <c r="O89" s="148"/>
      <c r="P89" s="179">
        <f>IF(NOT(NOT(IF(ISERROR(I89),ERROR.TYPE(#REF!)=ERROR.TYPE(I89),FALSE))),"Fail",IF(NOT(NOT(ISBLANK(I89))),"Fail",IF(NOT(ISNUMBER(I89)),"Fail",IF(NOT(LEN(I89)-FIND(".",I89&amp;".")&lt;=0),"Fail",IF(NOT(OR(I89=0,I89&gt;100)),"Fail","Pass")))))</f>
      </c>
      <c r="Q89" s="148"/>
      <c r="R89" s="149"/>
      <c r="S89" s="207">
        <f>IF(NOT(NOT(IF(ISERROR(I89),ERROR.TYPE(#REF!)=ERROR.TYPE(I89),FALSE))),"UNDO NOW (use button or Ctrl+Z)! CANNOT DRAG-AND-DROP CELLS",IF(NOT(NOT(ISBLANK(I89))),"input required",IF(NOT(ISNUMBER(I89)),"enter a number",IF(NOT(LEN(I89)-FIND(".",I89&amp;".")&lt;=0),"whole number only",IF(NOT(OR(I89=0,I89&gt;100)),"must be 0 or &gt; 100","")))))</f>
      </c>
      <c r="T89" s="149"/>
      <c r="U89" s="53"/>
      <c r="V89" s="150"/>
      <c r="W89" s="255"/>
      <c r="X89" s="150"/>
      <c r="Y89" s="22"/>
    </row>
    <row r="90" spans="1:25" ht="15" hidden="1">
      <c r="A90" s="22"/>
      <c r="B90" s="142"/>
      <c r="C90" s="204"/>
      <c r="D90" s="142"/>
      <c r="E90" s="144"/>
      <c r="F90" s="145"/>
      <c r="G90" s="144"/>
      <c r="H90" s="25"/>
      <c r="I90" s="146"/>
      <c r="J90" s="25"/>
      <c r="K90" s="147"/>
      <c r="L90" s="24"/>
      <c r="M90" s="145"/>
      <c r="N90" s="147"/>
      <c r="O90" s="148"/>
      <c r="P90" s="24"/>
      <c r="Q90" s="148"/>
      <c r="R90" s="149"/>
      <c r="S90" s="146"/>
      <c r="T90" s="149"/>
      <c r="U90" s="53"/>
      <c r="V90" s="150"/>
      <c r="W90" s="255"/>
      <c r="X90" s="150"/>
      <c r="Y90" s="22"/>
    </row>
    <row r="91" spans="1:25" ht="15" hidden="1" thickBot="1">
      <c r="A91" s="22"/>
      <c r="B91" s="142"/>
      <c r="C91" s="226"/>
      <c r="D91" s="142"/>
      <c r="E91" s="144"/>
      <c r="F91" s="145"/>
      <c r="G91" s="144"/>
      <c r="H91" s="25"/>
      <c r="I91" s="177"/>
      <c r="J91" s="25"/>
      <c r="K91" s="147"/>
      <c r="L91" s="24"/>
      <c r="M91" s="145"/>
      <c r="N91" s="147"/>
      <c r="O91" s="148"/>
      <c r="P91" s="24"/>
      <c r="Q91" s="148"/>
      <c r="R91" s="149"/>
      <c r="S91" s="146"/>
      <c r="T91" s="149"/>
      <c r="U91" s="53"/>
      <c r="V91" s="150"/>
      <c r="W91" s="255"/>
      <c r="X91" s="150"/>
      <c r="Y91" s="22"/>
    </row>
    <row r="92" spans="1:25" ht="15" thickBot="1">
      <c r="A92" s="22"/>
      <c r="B92" s="142"/>
      <c r="C92" s="227" t="s">
        <v>204</v>
      </c>
      <c r="D92" s="142"/>
      <c r="E92" s="144"/>
      <c r="F92" s="206" t="s">
        <v>66</v>
      </c>
      <c r="G92" s="144"/>
      <c r="H92" s="25"/>
      <c r="I92" s="233">
        <f>IF(AND(OR(ISBLANK(I81),I81=""),OR(ISBLANK(I82),I82=""),OR(ISBLANK(I83),I83=""),OR(ISBLANK(I84),I84=""),OR(ISBLANK(I85),I85=""),OR(ISBLANK(I86),I86=""),OR(ISBLANK(I87),I87=""),OR(ISBLANK(I88),I88=""),OR(ISBLANK(I89),I89="")),"",SUM(I81,I82,I83,I84,I85,I86,I87,I88,I89))</f>
      </c>
      <c r="J92" s="25"/>
      <c r="K92" s="147"/>
      <c r="L92" s="24"/>
      <c r="M92" s="206"/>
      <c r="N92" s="147"/>
      <c r="O92" s="148"/>
      <c r="P92" s="179">
        <f>IF(TRUE,"PassBecauseNoConstraints","ERROR")</f>
      </c>
      <c r="Q92" s="148"/>
      <c r="R92" s="149"/>
      <c r="S92" s="207">
        <f>IF(TRUE,"","ERROR")</f>
      </c>
      <c r="T92" s="149"/>
      <c r="U92" s="53"/>
      <c r="V92" s="150"/>
      <c r="W92" s="255"/>
      <c r="X92" s="150"/>
      <c r="Y92" s="22"/>
    </row>
    <row r="93" spans="1:25" ht="15" hidden="1">
      <c r="A93" s="22"/>
      <c r="B93" s="142"/>
      <c r="C93" s="226"/>
      <c r="D93" s="142"/>
      <c r="E93" s="144"/>
      <c r="F93" s="145"/>
      <c r="G93" s="144"/>
      <c r="H93" s="25"/>
      <c r="I93" s="146"/>
      <c r="J93" s="25"/>
      <c r="K93" s="147"/>
      <c r="L93" s="24"/>
      <c r="M93" s="145"/>
      <c r="N93" s="147"/>
      <c r="O93" s="148"/>
      <c r="P93" s="24"/>
      <c r="Q93" s="148"/>
      <c r="R93" s="149"/>
      <c r="S93" s="146"/>
      <c r="T93" s="149"/>
      <c r="U93" s="53"/>
      <c r="V93" s="150"/>
      <c r="W93" s="255"/>
      <c r="X93" s="150"/>
      <c r="Y93" s="22"/>
    </row>
    <row r="94" spans="1:25" ht="15" customHeight="1">
      <c r="A94" s="22"/>
      <c r="B94" s="142"/>
      <c r="C94" s="201"/>
      <c r="D94" s="142"/>
      <c r="E94" s="144"/>
      <c r="F94" s="145"/>
      <c r="G94" s="144"/>
      <c r="H94" s="25"/>
      <c r="I94" s="146"/>
      <c r="J94" s="25"/>
      <c r="K94" s="147"/>
      <c r="L94" s="24"/>
      <c r="M94" s="145"/>
      <c r="N94" s="147"/>
      <c r="O94" s="148"/>
      <c r="P94" s="24"/>
      <c r="Q94" s="148"/>
      <c r="R94" s="149"/>
      <c r="S94" s="146"/>
      <c r="T94" s="149"/>
      <c r="U94" s="53"/>
      <c r="V94" s="150"/>
      <c r="W94" s="255"/>
      <c r="X94" s="150"/>
      <c r="Y94" s="22"/>
    </row>
    <row r="95" spans="1:25" ht="15" hidden="1">
      <c r="A95" s="22"/>
      <c r="B95" s="142"/>
      <c r="C95" s="201"/>
      <c r="D95" s="142"/>
      <c r="E95" s="144"/>
      <c r="F95" s="145"/>
      <c r="G95" s="144"/>
      <c r="H95" s="25"/>
      <c r="I95" s="146"/>
      <c r="J95" s="25"/>
      <c r="K95" s="147"/>
      <c r="L95" s="24"/>
      <c r="M95" s="145"/>
      <c r="N95" s="147"/>
      <c r="O95" s="148"/>
      <c r="P95" s="24"/>
      <c r="Q95" s="148"/>
      <c r="R95" s="149"/>
      <c r="S95" s="146"/>
      <c r="T95" s="149"/>
      <c r="U95" s="53"/>
      <c r="V95" s="150"/>
      <c r="W95" s="255"/>
      <c r="X95" s="150"/>
      <c r="Y95" s="22"/>
    </row>
    <row r="96" spans="1:25" ht="15" hidden="1" thickBot="1">
      <c r="A96" s="22"/>
      <c r="B96" s="142"/>
      <c r="C96" s="226"/>
      <c r="D96" s="142"/>
      <c r="E96" s="144"/>
      <c r="F96" s="145"/>
      <c r="G96" s="144"/>
      <c r="H96" s="25"/>
      <c r="I96" s="177"/>
      <c r="J96" s="25"/>
      <c r="K96" s="147"/>
      <c r="L96" s="24"/>
      <c r="M96" s="145"/>
      <c r="N96" s="147"/>
      <c r="O96" s="148"/>
      <c r="P96" s="24"/>
      <c r="Q96" s="148"/>
      <c r="R96" s="149"/>
      <c r="S96" s="146"/>
      <c r="T96" s="149"/>
      <c r="U96" s="53"/>
      <c r="V96" s="150"/>
      <c r="W96" s="255"/>
      <c r="X96" s="150"/>
      <c r="Y96" s="22"/>
    </row>
    <row r="97" spans="1:25" ht="15" thickBot="1">
      <c r="A97" s="22"/>
      <c r="B97" s="142"/>
      <c r="C97" s="227" t="s">
        <v>203</v>
      </c>
      <c r="D97" s="142"/>
      <c r="E97" s="144"/>
      <c r="F97" s="206" t="s">
        <v>66</v>
      </c>
      <c r="G97" s="144"/>
      <c r="H97" s="25"/>
      <c r="I97" s="233">
        <f>IF(AND(OR(ISBLANK('Income Statement'!I31),'Income Statement'!I31=""),OR(ISBLANK(I92),I92="")),"",(IF('Income Statement'!I31="",0,'Income Statement'!I31)-IF(I92="",0,I92)))</f>
      </c>
      <c r="J97" s="25"/>
      <c r="K97" s="147"/>
      <c r="L97" s="24"/>
      <c r="M97" s="206"/>
      <c r="N97" s="147"/>
      <c r="O97" s="148"/>
      <c r="P97" s="179">
        <f>IF(NOT(NOT(I92="")),"Fail",IF(NOT(NOT('Income Statement'!I31="")),"Fail",IF(NOT(I92='Income Statement'!I31),"Fail","Pass")))</f>
      </c>
      <c r="Q97" s="148"/>
      <c r="R97" s="149"/>
      <c r="S97" s="207">
        <f>IF(NOT(NOT(I92="")),"must be 0",IF(NOT(NOT('Income Statement'!I31="")),"must be 0",IF(NOT(I92='Income Statement'!I31),"must be 0","")))</f>
      </c>
      <c r="T97" s="149"/>
      <c r="U97" s="53"/>
      <c r="V97" s="150"/>
      <c r="W97" s="255"/>
      <c r="X97" s="150"/>
      <c r="Y97" s="22"/>
    </row>
    <row r="98" spans="1:25" ht="15" hidden="1">
      <c r="A98" s="22"/>
      <c r="B98" s="142"/>
      <c r="C98" s="226"/>
      <c r="D98" s="142"/>
      <c r="E98" s="144"/>
      <c r="F98" s="145"/>
      <c r="G98" s="144"/>
      <c r="H98" s="25"/>
      <c r="I98" s="146"/>
      <c r="J98" s="25"/>
      <c r="K98" s="147"/>
      <c r="L98" s="24"/>
      <c r="M98" s="145"/>
      <c r="N98" s="147"/>
      <c r="O98" s="148"/>
      <c r="P98" s="24"/>
      <c r="Q98" s="148"/>
      <c r="R98" s="149"/>
      <c r="S98" s="146"/>
      <c r="T98" s="149"/>
      <c r="U98" s="53"/>
      <c r="V98" s="150"/>
      <c r="W98" s="255"/>
      <c r="X98" s="150"/>
      <c r="Y98" s="22"/>
    </row>
    <row r="99" spans="1:25" ht="15" customHeight="1">
      <c r="A99" s="22"/>
      <c r="B99" s="142"/>
      <c r="C99" s="201"/>
      <c r="D99" s="142"/>
      <c r="E99" s="144"/>
      <c r="F99" s="145"/>
      <c r="G99" s="144"/>
      <c r="H99" s="25"/>
      <c r="I99" s="146"/>
      <c r="J99" s="25"/>
      <c r="K99" s="147"/>
      <c r="L99" s="24"/>
      <c r="M99" s="145"/>
      <c r="N99" s="147"/>
      <c r="O99" s="148"/>
      <c r="P99" s="24"/>
      <c r="Q99" s="148"/>
      <c r="R99" s="149"/>
      <c r="S99" s="146"/>
      <c r="T99" s="149"/>
      <c r="U99" s="53"/>
      <c r="V99" s="150"/>
      <c r="W99" s="255"/>
      <c r="X99" s="150"/>
      <c r="Y99" s="22"/>
    </row>
    <row r="100" spans="1:25" ht="15" hidden="1">
      <c r="A100" s="22"/>
      <c r="B100" s="142"/>
      <c r="C100" s="200"/>
      <c r="D100" s="142"/>
      <c r="E100" s="144"/>
      <c r="F100" s="145"/>
      <c r="G100" s="144"/>
      <c r="H100" s="25"/>
      <c r="I100" s="146"/>
      <c r="J100" s="25"/>
      <c r="K100" s="147"/>
      <c r="L100" s="24"/>
      <c r="M100" s="145"/>
      <c r="N100" s="147"/>
      <c r="O100" s="148"/>
      <c r="P100" s="24"/>
      <c r="Q100" s="148"/>
      <c r="R100" s="149"/>
      <c r="S100" s="146"/>
      <c r="T100" s="149"/>
      <c r="U100" s="53"/>
      <c r="V100" s="150"/>
      <c r="W100" s="255"/>
      <c r="X100" s="150"/>
      <c r="Y100" s="22"/>
    </row>
    <row r="101" spans="1:25" ht="15" customHeight="1">
      <c r="A101" s="22"/>
      <c r="B101" s="142"/>
      <c r="C101" s="192"/>
      <c r="D101" s="142"/>
      <c r="E101" s="144"/>
      <c r="F101" s="145"/>
      <c r="G101" s="144"/>
      <c r="H101" s="25"/>
      <c r="I101" s="146"/>
      <c r="J101" s="25"/>
      <c r="K101" s="147"/>
      <c r="L101" s="24"/>
      <c r="M101" s="145"/>
      <c r="N101" s="147"/>
      <c r="O101" s="148"/>
      <c r="P101" s="24"/>
      <c r="Q101" s="148"/>
      <c r="R101" s="149"/>
      <c r="S101" s="146"/>
      <c r="T101" s="149"/>
      <c r="U101" s="53"/>
      <c r="V101" s="150"/>
      <c r="W101" s="255"/>
      <c r="X101" s="150"/>
      <c r="Y101" s="22"/>
    </row>
    <row r="102" spans="1:25" ht="15" hidden="1">
      <c r="A102" s="22"/>
      <c r="B102" s="142"/>
      <c r="C102" s="192"/>
      <c r="D102" s="142"/>
      <c r="E102" s="144"/>
      <c r="F102" s="145"/>
      <c r="G102" s="144"/>
      <c r="H102" s="25"/>
      <c r="I102" s="146"/>
      <c r="J102" s="25"/>
      <c r="K102" s="147"/>
      <c r="L102" s="24"/>
      <c r="M102" s="145"/>
      <c r="N102" s="147"/>
      <c r="O102" s="148"/>
      <c r="P102" s="24"/>
      <c r="Q102" s="148"/>
      <c r="R102" s="149"/>
      <c r="S102" s="146"/>
      <c r="T102" s="149"/>
      <c r="U102" s="53"/>
      <c r="V102" s="150"/>
      <c r="W102" s="255"/>
      <c r="X102" s="150"/>
      <c r="Y102" s="22"/>
    </row>
    <row r="103" spans="1:25" ht="15" hidden="1">
      <c r="A103" s="22"/>
      <c r="B103" s="142"/>
      <c r="C103" s="193"/>
      <c r="D103" s="142"/>
      <c r="E103" s="144"/>
      <c r="F103" s="145"/>
      <c r="G103" s="144"/>
      <c r="H103" s="25"/>
      <c r="I103" s="146"/>
      <c r="J103" s="25"/>
      <c r="K103" s="147"/>
      <c r="L103" s="24"/>
      <c r="M103" s="145"/>
      <c r="N103" s="147"/>
      <c r="O103" s="148"/>
      <c r="P103" s="24"/>
      <c r="Q103" s="148"/>
      <c r="R103" s="149"/>
      <c r="S103" s="146"/>
      <c r="T103" s="149"/>
      <c r="U103" s="53"/>
      <c r="V103" s="150"/>
      <c r="W103" s="255"/>
      <c r="X103" s="150"/>
      <c r="Y103" s="22"/>
    </row>
    <row r="104" spans="1:25" ht="21">
      <c r="A104" s="22"/>
      <c r="B104" s="142"/>
      <c r="C104" s="166" t="s">
        <v>202</v>
      </c>
      <c r="D104" s="142"/>
      <c r="E104" s="144"/>
      <c r="F104" s="145"/>
      <c r="G104" s="144"/>
      <c r="H104" s="25"/>
      <c r="I104" s="146"/>
      <c r="J104" s="25"/>
      <c r="K104" s="147"/>
      <c r="L104" s="24"/>
      <c r="M104" s="145"/>
      <c r="N104" s="147"/>
      <c r="O104" s="148"/>
      <c r="P104" s="24"/>
      <c r="Q104" s="148"/>
      <c r="R104" s="149"/>
      <c r="S104" s="146"/>
      <c r="T104" s="149"/>
      <c r="U104" s="53"/>
      <c r="V104" s="150"/>
      <c r="W104" s="255"/>
      <c r="X104" s="150"/>
      <c r="Y104" s="22"/>
    </row>
    <row r="105" spans="1:25" ht="7.5" customHeight="1">
      <c r="A105" s="22"/>
      <c r="B105" s="142"/>
      <c r="C105" s="193"/>
      <c r="D105" s="142"/>
      <c r="E105" s="144"/>
      <c r="F105" s="145"/>
      <c r="G105" s="144"/>
      <c r="H105" s="25"/>
      <c r="I105" s="146"/>
      <c r="J105" s="25"/>
      <c r="K105" s="147"/>
      <c r="L105" s="24"/>
      <c r="M105" s="145"/>
      <c r="N105" s="147"/>
      <c r="O105" s="148"/>
      <c r="P105" s="24"/>
      <c r="Q105" s="148"/>
      <c r="R105" s="149"/>
      <c r="S105" s="146"/>
      <c r="T105" s="149"/>
      <c r="U105" s="53"/>
      <c r="V105" s="150"/>
      <c r="W105" s="255"/>
      <c r="X105" s="150"/>
      <c r="Y105" s="22"/>
    </row>
    <row r="106" spans="1:25" ht="15" hidden="1">
      <c r="A106" s="22"/>
      <c r="B106" s="142"/>
      <c r="C106" s="200"/>
      <c r="D106" s="142"/>
      <c r="E106" s="144"/>
      <c r="F106" s="145"/>
      <c r="G106" s="144"/>
      <c r="H106" s="25"/>
      <c r="I106" s="146"/>
      <c r="J106" s="25"/>
      <c r="K106" s="147"/>
      <c r="L106" s="24"/>
      <c r="M106" s="145"/>
      <c r="N106" s="147"/>
      <c r="O106" s="148"/>
      <c r="P106" s="24"/>
      <c r="Q106" s="148"/>
      <c r="R106" s="149"/>
      <c r="S106" s="146"/>
      <c r="T106" s="149"/>
      <c r="U106" s="53"/>
      <c r="V106" s="150"/>
      <c r="W106" s="255"/>
      <c r="X106" s="150"/>
      <c r="Y106" s="22"/>
    </row>
    <row r="107" spans="1:25" ht="15" hidden="1">
      <c r="A107" s="22"/>
      <c r="B107" s="142"/>
      <c r="C107" s="201"/>
      <c r="D107" s="142"/>
      <c r="E107" s="144"/>
      <c r="F107" s="145"/>
      <c r="G107" s="144"/>
      <c r="H107" s="25"/>
      <c r="I107" s="146"/>
      <c r="J107" s="25"/>
      <c r="K107" s="147"/>
      <c r="L107" s="24"/>
      <c r="M107" s="145"/>
      <c r="N107" s="147"/>
      <c r="O107" s="148"/>
      <c r="P107" s="24"/>
      <c r="Q107" s="148"/>
      <c r="R107" s="149"/>
      <c r="S107" s="146"/>
      <c r="T107" s="149"/>
      <c r="U107" s="53"/>
      <c r="V107" s="150"/>
      <c r="W107" s="255"/>
      <c r="X107" s="150"/>
      <c r="Y107" s="22"/>
    </row>
    <row r="108" spans="1:25" ht="15" hidden="1" thickBot="1">
      <c r="A108" s="22"/>
      <c r="B108" s="142"/>
      <c r="C108" s="204"/>
      <c r="D108" s="142"/>
      <c r="E108" s="144"/>
      <c r="F108" s="145"/>
      <c r="G108" s="144"/>
      <c r="H108" s="25"/>
      <c r="I108" s="177"/>
      <c r="J108" s="25"/>
      <c r="K108" s="147"/>
      <c r="L108" s="24"/>
      <c r="M108" s="145"/>
      <c r="N108" s="147"/>
      <c r="O108" s="148"/>
      <c r="P108" s="24"/>
      <c r="Q108" s="148"/>
      <c r="R108" s="149"/>
      <c r="S108" s="146"/>
      <c r="T108" s="149"/>
      <c r="U108" s="53"/>
      <c r="V108" s="150"/>
      <c r="W108" s="255"/>
      <c r="X108" s="150"/>
      <c r="Y108" s="22"/>
    </row>
    <row r="109" spans="1:25" ht="15">
      <c r="A109" s="22"/>
      <c r="B109" s="142"/>
      <c r="C109" s="205" t="s">
        <v>201</v>
      </c>
      <c r="D109" s="142"/>
      <c r="E109" s="144"/>
      <c r="F109" s="206"/>
      <c r="G109" s="144"/>
      <c r="H109" s="25"/>
      <c r="I109" s="258"/>
      <c r="J109" s="25"/>
      <c r="K109" s="147"/>
      <c r="L109" s="206" t="s">
        <v>28</v>
      </c>
      <c r="M109" s="206"/>
      <c r="N109" s="147"/>
      <c r="O109" s="148"/>
      <c r="P109" s="179">
        <f>IF(NOT(NOT(IF(ISERROR(I109),ERROR.TYPE(#REF!)=ERROR.TYPE(I109),FALSE))),"Fail",IF(NOT(NOT(ISBLANK(I109))),"Fail",IF(NOT(ISNUMBER(I109)),"Fail",IF(NOT(LEN(I109)-FIND(".",I109&amp;".")&lt;=0),"Fail",IF(NOT(I109&gt;0),"Fail","Pass")))))</f>
      </c>
      <c r="Q109" s="148"/>
      <c r="R109" s="149"/>
      <c r="S109" s="207">
        <f>IF(NOT(NOT(IF(ISERROR(I109),ERROR.TYPE(#REF!)=ERROR.TYPE(I109),FALSE))),"UNDO NOW (use button or Ctrl+Z)! CANNOT DRAG-AND-DROP CELLS",IF(NOT(NOT(ISBLANK(I109))),"input required",IF(NOT(ISNUMBER(I109)),"enter a number",IF(NOT(LEN(I109)-FIND(".",I109&amp;".")&lt;=0),"whole number only",IF(NOT(I109&gt;0),"must be &gt; 0","")))))</f>
      </c>
      <c r="T109" s="149"/>
      <c r="U109" s="53"/>
      <c r="V109" s="150"/>
      <c r="W109" s="255"/>
      <c r="X109" s="150"/>
      <c r="Y109" s="22"/>
    </row>
    <row r="110" spans="1:25" ht="15">
      <c r="A110" s="22"/>
      <c r="B110" s="142"/>
      <c r="C110" s="205" t="s">
        <v>200</v>
      </c>
      <c r="D110" s="142"/>
      <c r="E110" s="144"/>
      <c r="F110" s="206"/>
      <c r="G110" s="144"/>
      <c r="H110" s="25"/>
      <c r="I110" s="260"/>
      <c r="J110" s="25"/>
      <c r="K110" s="147"/>
      <c r="L110" s="206" t="s">
        <v>28</v>
      </c>
      <c r="M110" s="206"/>
      <c r="N110" s="147"/>
      <c r="O110" s="148"/>
      <c r="P110" s="179">
        <f>IF(NOT(NOT(IF(ISERROR(I110),ERROR.TYPE(#REF!)=ERROR.TYPE(I110),FALSE))),"Fail",IF(NOT(NOT(ISBLANK(I110))),"Fail",IF(NOT(ISNUMBER(I110)),"Fail",IF(NOT(LEN(I110)-FIND(".",I110&amp;".")&lt;=0),"Fail",IF(NOT(I110&gt;0),"Fail","Pass")))))</f>
      </c>
      <c r="Q110" s="148"/>
      <c r="R110" s="149"/>
      <c r="S110" s="207">
        <f>IF(NOT(NOT(IF(ISERROR(I110),ERROR.TYPE(#REF!)=ERROR.TYPE(I110),FALSE))),"UNDO NOW (use button or Ctrl+Z)! CANNOT DRAG-AND-DROP CELLS",IF(NOT(NOT(ISBLANK(I110))),"input required",IF(NOT(ISNUMBER(I110)),"enter a number",IF(NOT(LEN(I110)-FIND(".",I110&amp;".")&lt;=0),"whole number only",IF(NOT(I110&gt;0),"must be &gt; 0","")))))</f>
      </c>
      <c r="T110" s="149"/>
      <c r="U110" s="53"/>
      <c r="V110" s="150"/>
      <c r="W110" s="255"/>
      <c r="X110" s="150"/>
      <c r="Y110" s="22"/>
    </row>
    <row r="111" spans="1:25" ht="15">
      <c r="A111" s="22"/>
      <c r="B111" s="142"/>
      <c r="C111" s="205" t="s">
        <v>199</v>
      </c>
      <c r="D111" s="142"/>
      <c r="E111" s="144"/>
      <c r="F111" s="206"/>
      <c r="G111" s="144"/>
      <c r="H111" s="25"/>
      <c r="I111" s="260"/>
      <c r="J111" s="25"/>
      <c r="K111" s="147"/>
      <c r="L111" s="206" t="s">
        <v>28</v>
      </c>
      <c r="M111" s="206"/>
      <c r="N111" s="147"/>
      <c r="O111" s="148"/>
      <c r="P111" s="179">
        <f>IF(NOT(NOT(IF(ISERROR(I111),ERROR.TYPE(#REF!)=ERROR.TYPE(I111),FALSE))),"Fail",IF(NOT(NOT(ISBLANK(I111))),"Fail",IF(NOT(ISNUMBER(I111)),"Fail",IF(NOT(LEN(I111)-FIND(".",I111&amp;".")&lt;=0),"Fail",IF(NOT(I111&gt;0),"Fail","Pass")))))</f>
      </c>
      <c r="Q111" s="148"/>
      <c r="R111" s="149"/>
      <c r="S111" s="207">
        <f>IF(NOT(NOT(IF(ISERROR(I111),ERROR.TYPE(#REF!)=ERROR.TYPE(I111),FALSE))),"UNDO NOW (use button or Ctrl+Z)! CANNOT DRAG-AND-DROP CELLS",IF(NOT(NOT(ISBLANK(I111))),"input required",IF(NOT(ISNUMBER(I111)),"enter a number",IF(NOT(LEN(I111)-FIND(".",I111&amp;".")&lt;=0),"whole number only",IF(NOT(I111&gt;0),"must be &gt; 0","")))))</f>
      </c>
      <c r="T111" s="149"/>
      <c r="U111" s="53"/>
      <c r="V111" s="150"/>
      <c r="W111" s="255"/>
      <c r="X111" s="150"/>
      <c r="Y111" s="22"/>
    </row>
    <row r="112" spans="1:25" ht="15">
      <c r="A112" s="22"/>
      <c r="B112" s="142"/>
      <c r="C112" s="205" t="s">
        <v>198</v>
      </c>
      <c r="D112" s="142"/>
      <c r="E112" s="144"/>
      <c r="F112" s="206"/>
      <c r="G112" s="144"/>
      <c r="H112" s="25"/>
      <c r="I112" s="297"/>
      <c r="J112" s="25"/>
      <c r="K112" s="147"/>
      <c r="L112" s="206" t="s">
        <v>28</v>
      </c>
      <c r="M112" s="206"/>
      <c r="N112" s="147"/>
      <c r="O112" s="148"/>
      <c r="P112" s="179">
        <f>IF(NOT(NOT(IF(ISERROR(I112),ERROR.TYPE(#REF!)=ERROR.TYPE(I112),FALSE))),"Fail",IF(NOT(NOT(ISBLANK(I112))),"Fail",IF(NOT(ISNUMBER(I112)),"Fail",IF(NOT(LEN(I112)-FIND(".",I112&amp;".")&lt;=1),"Fail",IF(NOT(I112&gt;0),"Fail","Pass")))))</f>
      </c>
      <c r="Q112" s="148"/>
      <c r="R112" s="149"/>
      <c r="S112" s="207">
        <f>IF(NOT(NOT(IF(ISERROR(I112),ERROR.TYPE(#REF!)=ERROR.TYPE(I112),FALSE))),"UNDO NOW (use button or Ctrl+Z)! CANNOT DRAG-AND-DROP CELLS",IF(NOT(NOT(ISBLANK(I112))),"input required",IF(NOT(ISNUMBER(I112)),"enter a number",IF(NOT(LEN(I112)-FIND(".",I112&amp;".")&lt;=1),"only 1 decimal place(s) allowed",IF(NOT(I112&gt;0),"must be &gt; 0","")))))</f>
      </c>
      <c r="T112" s="149"/>
      <c r="U112" s="53"/>
      <c r="V112" s="150"/>
      <c r="W112" s="255"/>
      <c r="X112" s="150"/>
      <c r="Y112" s="22"/>
    </row>
    <row r="113" spans="1:25" ht="15">
      <c r="A113" s="22"/>
      <c r="B113" s="142"/>
      <c r="C113" s="205" t="s">
        <v>197</v>
      </c>
      <c r="D113" s="142"/>
      <c r="E113" s="144"/>
      <c r="F113" s="206"/>
      <c r="G113" s="144"/>
      <c r="H113" s="25"/>
      <c r="I113" s="260"/>
      <c r="J113" s="25"/>
      <c r="K113" s="147"/>
      <c r="L113" s="206" t="s">
        <v>28</v>
      </c>
      <c r="M113" s="206"/>
      <c r="N113" s="147"/>
      <c r="O113" s="148"/>
      <c r="P113" s="179">
        <f>IF(NOT(NOT(IF(ISERROR(I113),ERROR.TYPE(#REF!)=ERROR.TYPE(I113),FALSE))),"Fail",IF(NOT(NOT(ISBLANK(I113))),"Fail",IF(NOT(ISNUMBER(I113)),"Fail",IF(NOT(LEN(I113)-FIND(".",I113&amp;".")&lt;=0),"Fail",IF(NOT(I113&gt;0),"Fail","Pass")))))</f>
      </c>
      <c r="Q113" s="148"/>
      <c r="R113" s="149"/>
      <c r="S113" s="207">
        <f>IF(NOT(NOT(IF(ISERROR(I113),ERROR.TYPE(#REF!)=ERROR.TYPE(I113),FALSE))),"UNDO NOW (use button or Ctrl+Z)! CANNOT DRAG-AND-DROP CELLS",IF(NOT(NOT(ISBLANK(I113))),"input required",IF(NOT(ISNUMBER(I113)),"enter a number",IF(NOT(LEN(I113)-FIND(".",I113&amp;".")&lt;=0),"whole number only",IF(NOT(I113&gt;0),"must be &gt; 0","")))))</f>
      </c>
      <c r="T113" s="149"/>
      <c r="U113" s="53"/>
      <c r="V113" s="150"/>
      <c r="W113" s="255"/>
      <c r="X113" s="150"/>
      <c r="Y113" s="22"/>
    </row>
    <row r="114" spans="1:25" ht="15" thickBot="1">
      <c r="A114" s="22"/>
      <c r="B114" s="142"/>
      <c r="C114" s="205" t="s">
        <v>196</v>
      </c>
      <c r="D114" s="142"/>
      <c r="E114" s="144"/>
      <c r="F114" s="206"/>
      <c r="G114" s="144"/>
      <c r="H114" s="25"/>
      <c r="I114" s="259"/>
      <c r="J114" s="25"/>
      <c r="K114" s="147"/>
      <c r="L114" s="206" t="s">
        <v>28</v>
      </c>
      <c r="M114" s="206"/>
      <c r="N114" s="147"/>
      <c r="O114" s="148"/>
      <c r="P114" s="179">
        <f>IF(NOT(NOT(IF(ISERROR(I114),ERROR.TYPE(#REF!)=ERROR.TYPE(I114),FALSE))),"Fail",IF(NOT(NOT(ISBLANK(I114))),"Fail",IF(NOT(ISNUMBER(I114)),"Fail",IF(NOT(LEN(I114)-FIND(".",I114&amp;".")&lt;=0),"Fail",IF(NOT(I114&gt;=0),"Fail","Pass")))))</f>
      </c>
      <c r="Q114" s="148"/>
      <c r="R114" s="149"/>
      <c r="S114" s="207">
        <f>IF(NOT(NOT(IF(ISERROR(I114),ERROR.TYPE(#REF!)=ERROR.TYPE(I114),FALSE))),"UNDO NOW (use button or Ctrl+Z)! CANNOT DRAG-AND-DROP CELLS",IF(NOT(NOT(ISBLANK(I114))),"input required",IF(NOT(ISNUMBER(I114)),"enter a number",IF(NOT(LEN(I114)-FIND(".",I114&amp;".")&lt;=0),"whole number only",IF(NOT(I114&gt;=0),"must be &gt;= 0","")))))</f>
      </c>
      <c r="T114" s="149"/>
      <c r="U114" s="53"/>
      <c r="V114" s="150"/>
      <c r="W114" s="255"/>
      <c r="X114" s="150"/>
      <c r="Y114" s="22"/>
    </row>
    <row r="115" spans="1:25" ht="15" hidden="1">
      <c r="A115" s="22"/>
      <c r="B115" s="142"/>
      <c r="C115" s="204"/>
      <c r="D115" s="142"/>
      <c r="E115" s="144"/>
      <c r="F115" s="145"/>
      <c r="G115" s="144"/>
      <c r="H115" s="25"/>
      <c r="I115" s="146"/>
      <c r="J115" s="25"/>
      <c r="K115" s="147"/>
      <c r="L115" s="24"/>
      <c r="M115" s="145"/>
      <c r="N115" s="147"/>
      <c r="O115" s="148"/>
      <c r="P115" s="24"/>
      <c r="Q115" s="148"/>
      <c r="R115" s="149"/>
      <c r="S115" s="146"/>
      <c r="T115" s="149"/>
      <c r="U115" s="53"/>
      <c r="V115" s="150"/>
      <c r="W115" s="255"/>
      <c r="X115" s="150"/>
      <c r="Y115" s="22"/>
    </row>
    <row r="116" spans="1:25" ht="15" customHeight="1">
      <c r="A116" s="22"/>
      <c r="B116" s="142"/>
      <c r="C116" s="201"/>
      <c r="D116" s="142"/>
      <c r="E116" s="144"/>
      <c r="F116" s="145"/>
      <c r="G116" s="144"/>
      <c r="H116" s="25"/>
      <c r="I116" s="146"/>
      <c r="J116" s="25"/>
      <c r="K116" s="147"/>
      <c r="L116" s="24"/>
      <c r="M116" s="145"/>
      <c r="N116" s="147"/>
      <c r="O116" s="148"/>
      <c r="P116" s="24"/>
      <c r="Q116" s="148"/>
      <c r="R116" s="149"/>
      <c r="S116" s="146"/>
      <c r="T116" s="149"/>
      <c r="U116" s="53"/>
      <c r="V116" s="150"/>
      <c r="W116" s="255"/>
      <c r="X116" s="150"/>
      <c r="Y116" s="22"/>
    </row>
    <row r="117" spans="1:25" ht="15" hidden="1">
      <c r="A117" s="22"/>
      <c r="B117" s="142"/>
      <c r="C117" s="200"/>
      <c r="D117" s="142"/>
      <c r="E117" s="144"/>
      <c r="F117" s="145"/>
      <c r="G117" s="144"/>
      <c r="H117" s="25"/>
      <c r="I117" s="146"/>
      <c r="J117" s="25"/>
      <c r="K117" s="147"/>
      <c r="L117" s="24"/>
      <c r="M117" s="145"/>
      <c r="N117" s="147"/>
      <c r="O117" s="148"/>
      <c r="P117" s="24"/>
      <c r="Q117" s="148"/>
      <c r="R117" s="149"/>
      <c r="S117" s="146"/>
      <c r="T117" s="149"/>
      <c r="U117" s="53"/>
      <c r="V117" s="150"/>
      <c r="W117" s="255"/>
      <c r="X117" s="150"/>
      <c r="Y117" s="22"/>
    </row>
    <row r="118" spans="1:25" ht="15" customHeight="1">
      <c r="A118" s="22"/>
      <c r="B118" s="142"/>
      <c r="C118" s="192"/>
      <c r="D118" s="142"/>
      <c r="E118" s="144"/>
      <c r="F118" s="145"/>
      <c r="G118" s="144"/>
      <c r="H118" s="25"/>
      <c r="I118" s="146"/>
      <c r="J118" s="25"/>
      <c r="K118" s="147"/>
      <c r="L118" s="24"/>
      <c r="M118" s="145"/>
      <c r="N118" s="147"/>
      <c r="O118" s="148"/>
      <c r="P118" s="24"/>
      <c r="Q118" s="148"/>
      <c r="R118" s="149"/>
      <c r="S118" s="146"/>
      <c r="T118" s="149"/>
      <c r="U118" s="53"/>
      <c r="V118" s="150"/>
      <c r="W118" s="255"/>
      <c r="X118" s="150"/>
      <c r="Y118" s="22"/>
    </row>
    <row r="119" spans="1:25" ht="15" hidden="1">
      <c r="A119" s="22"/>
      <c r="B119" s="142"/>
      <c r="C119" s="192"/>
      <c r="D119" s="142"/>
      <c r="E119" s="144"/>
      <c r="F119" s="145"/>
      <c r="G119" s="144"/>
      <c r="H119" s="25"/>
      <c r="I119" s="146"/>
      <c r="J119" s="25"/>
      <c r="K119" s="147"/>
      <c r="L119" s="24"/>
      <c r="M119" s="145"/>
      <c r="N119" s="147"/>
      <c r="O119" s="148"/>
      <c r="P119" s="24"/>
      <c r="Q119" s="148"/>
      <c r="R119" s="149"/>
      <c r="S119" s="146"/>
      <c r="T119" s="149"/>
      <c r="U119" s="53"/>
      <c r="V119" s="150"/>
      <c r="W119" s="255"/>
      <c r="X119" s="150"/>
      <c r="Y119" s="22"/>
    </row>
    <row r="120" spans="1:25" ht="15" hidden="1">
      <c r="A120" s="22"/>
      <c r="B120" s="142"/>
      <c r="C120" s="193"/>
      <c r="D120" s="142"/>
      <c r="E120" s="144"/>
      <c r="F120" s="145"/>
      <c r="G120" s="144"/>
      <c r="H120" s="25"/>
      <c r="I120" s="146"/>
      <c r="J120" s="25"/>
      <c r="K120" s="147"/>
      <c r="L120" s="24"/>
      <c r="M120" s="145"/>
      <c r="N120" s="147"/>
      <c r="O120" s="148"/>
      <c r="P120" s="24"/>
      <c r="Q120" s="148"/>
      <c r="R120" s="149"/>
      <c r="S120" s="146"/>
      <c r="T120" s="149"/>
      <c r="U120" s="53"/>
      <c r="V120" s="150"/>
      <c r="W120" s="255"/>
      <c r="X120" s="150"/>
      <c r="Y120" s="22"/>
    </row>
    <row r="121" spans="1:25" ht="21">
      <c r="A121" s="22"/>
      <c r="B121" s="142"/>
      <c r="C121" s="166" t="s">
        <v>195</v>
      </c>
      <c r="D121" s="142"/>
      <c r="E121" s="144"/>
      <c r="F121" s="145"/>
      <c r="G121" s="144"/>
      <c r="H121" s="25"/>
      <c r="I121" s="146"/>
      <c r="J121" s="25"/>
      <c r="K121" s="147"/>
      <c r="L121" s="24"/>
      <c r="M121" s="145"/>
      <c r="N121" s="147"/>
      <c r="O121" s="148"/>
      <c r="P121" s="24"/>
      <c r="Q121" s="148"/>
      <c r="R121" s="149"/>
      <c r="S121" s="146"/>
      <c r="T121" s="149"/>
      <c r="U121" s="53"/>
      <c r="V121" s="150"/>
      <c r="W121" s="255"/>
      <c r="X121" s="150"/>
      <c r="Y121" s="22"/>
    </row>
    <row r="122" spans="1:25" ht="7.5" customHeight="1">
      <c r="A122" s="22"/>
      <c r="B122" s="142"/>
      <c r="C122" s="193"/>
      <c r="D122" s="142"/>
      <c r="E122" s="144"/>
      <c r="F122" s="145"/>
      <c r="G122" s="144"/>
      <c r="H122" s="25"/>
      <c r="I122" s="146"/>
      <c r="J122" s="25"/>
      <c r="K122" s="147"/>
      <c r="L122" s="24"/>
      <c r="M122" s="145"/>
      <c r="N122" s="147"/>
      <c r="O122" s="148"/>
      <c r="P122" s="24"/>
      <c r="Q122" s="148"/>
      <c r="R122" s="149"/>
      <c r="S122" s="146"/>
      <c r="T122" s="149"/>
      <c r="U122" s="53"/>
      <c r="V122" s="150"/>
      <c r="W122" s="255"/>
      <c r="X122" s="150"/>
      <c r="Y122" s="22"/>
    </row>
    <row r="123" spans="1:25" ht="15" hidden="1">
      <c r="A123" s="22"/>
      <c r="B123" s="142"/>
      <c r="C123" s="194"/>
      <c r="D123" s="142"/>
      <c r="E123" s="144"/>
      <c r="F123" s="145"/>
      <c r="G123" s="144"/>
      <c r="H123" s="25"/>
      <c r="I123" s="146"/>
      <c r="J123" s="25"/>
      <c r="K123" s="147"/>
      <c r="L123" s="24"/>
      <c r="M123" s="145"/>
      <c r="N123" s="147"/>
      <c r="O123" s="148"/>
      <c r="P123" s="24"/>
      <c r="Q123" s="148"/>
      <c r="R123" s="149"/>
      <c r="S123" s="146"/>
      <c r="T123" s="149"/>
      <c r="U123" s="53"/>
      <c r="V123" s="150"/>
      <c r="W123" s="255"/>
      <c r="X123" s="150"/>
      <c r="Y123" s="22"/>
    </row>
    <row r="124" spans="1:25" ht="15" customHeight="1">
      <c r="A124" s="22"/>
      <c r="B124" s="142"/>
      <c r="C124" s="195" t="s">
        <v>194</v>
      </c>
      <c r="D124" s="196"/>
      <c r="E124" s="196"/>
      <c r="F124" s="197"/>
      <c r="G124" s="196"/>
      <c r="H124" s="196"/>
      <c r="I124" s="198"/>
      <c r="J124" s="196"/>
      <c r="K124" s="196"/>
      <c r="L124" s="199"/>
      <c r="M124" s="197"/>
      <c r="N124" s="196"/>
      <c r="O124" s="196"/>
      <c r="P124" s="199"/>
      <c r="Q124" s="196"/>
      <c r="R124" s="196"/>
      <c r="S124" s="198"/>
      <c r="T124" s="149"/>
      <c r="U124" s="53"/>
      <c r="V124" s="150"/>
      <c r="W124" s="255"/>
      <c r="X124" s="150"/>
      <c r="Y124" s="22"/>
    </row>
    <row r="125" spans="1:25" ht="15" customHeight="1">
      <c r="A125" s="22"/>
      <c r="B125" s="142"/>
      <c r="C125" s="194"/>
      <c r="D125" s="142"/>
      <c r="E125" s="144"/>
      <c r="F125" s="145"/>
      <c r="G125" s="144"/>
      <c r="H125" s="25"/>
      <c r="I125" s="146"/>
      <c r="J125" s="25"/>
      <c r="K125" s="147"/>
      <c r="L125" s="24"/>
      <c r="M125" s="145"/>
      <c r="N125" s="147"/>
      <c r="O125" s="148"/>
      <c r="P125" s="24"/>
      <c r="Q125" s="148"/>
      <c r="R125" s="149"/>
      <c r="S125" s="146"/>
      <c r="T125" s="149"/>
      <c r="U125" s="53"/>
      <c r="V125" s="150"/>
      <c r="W125" s="255"/>
      <c r="X125" s="150"/>
      <c r="Y125" s="22"/>
    </row>
    <row r="126" spans="1:25" ht="15" hidden="1">
      <c r="A126" s="22"/>
      <c r="B126" s="142"/>
      <c r="C126" s="200"/>
      <c r="D126" s="142"/>
      <c r="E126" s="144"/>
      <c r="F126" s="145"/>
      <c r="G126" s="144"/>
      <c r="H126" s="25"/>
      <c r="I126" s="146"/>
      <c r="J126" s="25"/>
      <c r="K126" s="147"/>
      <c r="L126" s="24"/>
      <c r="M126" s="145"/>
      <c r="N126" s="147"/>
      <c r="O126" s="148"/>
      <c r="P126" s="24"/>
      <c r="Q126" s="148"/>
      <c r="R126" s="149"/>
      <c r="S126" s="146"/>
      <c r="T126" s="149"/>
      <c r="U126" s="53"/>
      <c r="V126" s="150"/>
      <c r="W126" s="255"/>
      <c r="X126" s="150"/>
      <c r="Y126" s="22"/>
    </row>
    <row r="127" spans="1:25" ht="15" hidden="1">
      <c r="A127" s="22"/>
      <c r="B127" s="142"/>
      <c r="C127" s="201"/>
      <c r="D127" s="142"/>
      <c r="E127" s="144"/>
      <c r="F127" s="145"/>
      <c r="G127" s="144"/>
      <c r="H127" s="25"/>
      <c r="I127" s="146"/>
      <c r="J127" s="25"/>
      <c r="K127" s="147"/>
      <c r="L127" s="24"/>
      <c r="M127" s="145"/>
      <c r="N127" s="147"/>
      <c r="O127" s="148"/>
      <c r="P127" s="24"/>
      <c r="Q127" s="148"/>
      <c r="R127" s="149"/>
      <c r="S127" s="146"/>
      <c r="T127" s="149"/>
      <c r="U127" s="53"/>
      <c r="V127" s="150"/>
      <c r="W127" s="255"/>
      <c r="X127" s="150"/>
      <c r="Y127" s="22"/>
    </row>
    <row r="128" spans="1:25" ht="15" hidden="1">
      <c r="A128" s="22"/>
      <c r="B128" s="142"/>
      <c r="C128" s="202"/>
      <c r="D128" s="142"/>
      <c r="E128" s="144"/>
      <c r="F128" s="145"/>
      <c r="G128" s="144"/>
      <c r="H128" s="25"/>
      <c r="I128" s="146"/>
      <c r="J128" s="25"/>
      <c r="K128" s="147"/>
      <c r="L128" s="24"/>
      <c r="M128" s="145"/>
      <c r="N128" s="147"/>
      <c r="O128" s="148"/>
      <c r="P128" s="24"/>
      <c r="Q128" s="148"/>
      <c r="R128" s="149"/>
      <c r="S128" s="146"/>
      <c r="T128" s="149"/>
      <c r="U128" s="53"/>
      <c r="V128" s="150"/>
      <c r="W128" s="255"/>
      <c r="X128" s="150"/>
      <c r="Y128" s="22"/>
    </row>
    <row r="129" spans="1:25" ht="18.75">
      <c r="A129" s="22"/>
      <c r="B129" s="142"/>
      <c r="C129" s="203" t="s">
        <v>193</v>
      </c>
      <c r="D129" s="142"/>
      <c r="E129" s="144"/>
      <c r="F129" s="145"/>
      <c r="G129" s="144"/>
      <c r="H129" s="25"/>
      <c r="I129" s="146"/>
      <c r="J129" s="25"/>
      <c r="K129" s="147"/>
      <c r="L129" s="24"/>
      <c r="M129" s="145"/>
      <c r="N129" s="147"/>
      <c r="O129" s="148"/>
      <c r="P129" s="24"/>
      <c r="Q129" s="148"/>
      <c r="R129" s="149"/>
      <c r="S129" s="146"/>
      <c r="T129" s="149"/>
      <c r="U129" s="53"/>
      <c r="V129" s="150"/>
      <c r="W129" s="255"/>
      <c r="X129" s="150"/>
      <c r="Y129" s="22"/>
    </row>
    <row r="130" spans="1:25" ht="7.5" customHeight="1">
      <c r="A130" s="22"/>
      <c r="B130" s="142"/>
      <c r="C130" s="202"/>
      <c r="D130" s="142"/>
      <c r="E130" s="144"/>
      <c r="F130" s="145"/>
      <c r="G130" s="144"/>
      <c r="H130" s="25"/>
      <c r="I130" s="146"/>
      <c r="J130" s="25"/>
      <c r="K130" s="147"/>
      <c r="L130" s="24"/>
      <c r="M130" s="145"/>
      <c r="N130" s="147"/>
      <c r="O130" s="148"/>
      <c r="P130" s="24"/>
      <c r="Q130" s="148"/>
      <c r="R130" s="149"/>
      <c r="S130" s="146"/>
      <c r="T130" s="149"/>
      <c r="U130" s="53"/>
      <c r="V130" s="150"/>
      <c r="W130" s="255"/>
      <c r="X130" s="150"/>
      <c r="Y130" s="22"/>
    </row>
    <row r="131" spans="1:25" ht="15" hidden="1" thickBot="1">
      <c r="A131" s="22"/>
      <c r="B131" s="142"/>
      <c r="C131" s="204"/>
      <c r="D131" s="142"/>
      <c r="E131" s="144"/>
      <c r="F131" s="145"/>
      <c r="G131" s="144"/>
      <c r="H131" s="25"/>
      <c r="I131" s="177"/>
      <c r="J131" s="25"/>
      <c r="K131" s="147"/>
      <c r="L131" s="24"/>
      <c r="M131" s="145"/>
      <c r="N131" s="147"/>
      <c r="O131" s="148"/>
      <c r="P131" s="24"/>
      <c r="Q131" s="148"/>
      <c r="R131" s="149"/>
      <c r="S131" s="146"/>
      <c r="T131" s="149"/>
      <c r="U131" s="53"/>
      <c r="V131" s="150"/>
      <c r="W131" s="255"/>
      <c r="X131" s="150"/>
      <c r="Y131" s="22"/>
    </row>
    <row r="132" spans="1:25" ht="15" thickBot="1">
      <c r="A132" s="22"/>
      <c r="B132" s="142"/>
      <c r="C132" s="205" t="s">
        <v>192</v>
      </c>
      <c r="D132" s="142"/>
      <c r="E132" s="144"/>
      <c r="F132" s="206"/>
      <c r="G132" s="144"/>
      <c r="H132" s="25"/>
      <c r="I132" s="257"/>
      <c r="J132" s="25"/>
      <c r="K132" s="147"/>
      <c r="L132" s="206" t="s">
        <v>191</v>
      </c>
      <c r="M132" s="206"/>
      <c r="N132" s="147"/>
      <c r="O132" s="148"/>
      <c r="P132" s="179">
        <f>IF(NOT(NOT(IF(ISERROR(I132),ERROR.TYPE(#REF!)=ERROR.TYPE(I132),FALSE))),"Fail",IF(NOT(NOT(ISBLANK(I132))),"Fail",IF(NOT(ISNUMBER(I132)),"Fail",IF(NOT(LEN(I132)-FIND(".",I132&amp;".")&lt;=1),"Fail",IF(NOT(I132&gt;=0),"Fail","Pass")))))</f>
      </c>
      <c r="Q132" s="148"/>
      <c r="R132" s="149"/>
      <c r="S132" s="207">
        <f>IF(NOT(NOT(IF(ISERROR(I132),ERROR.TYPE(#REF!)=ERROR.TYPE(I132),FALSE))),"UNDO NOW (use button or Ctrl+Z)! CANNOT DRAG-AND-DROP CELLS",IF(NOT(NOT(ISBLANK(I132))),"input required",IF(NOT(ISNUMBER(I132)),"enter a number",IF(NOT(LEN(I132)-FIND(".",I132&amp;".")&lt;=1),"only 1 decimal place(s) allowed",IF(NOT(I132&gt;=0),"must be &gt;= 0","")))))</f>
      </c>
      <c r="T132" s="149"/>
      <c r="U132" s="53"/>
      <c r="V132" s="150"/>
      <c r="W132" s="255"/>
      <c r="X132" s="150"/>
      <c r="Y132" s="22"/>
    </row>
    <row r="133" spans="1:25" ht="15" hidden="1">
      <c r="A133" s="22"/>
      <c r="B133" s="142"/>
      <c r="C133" s="204"/>
      <c r="D133" s="142"/>
      <c r="E133" s="144"/>
      <c r="F133" s="145"/>
      <c r="G133" s="144"/>
      <c r="H133" s="25"/>
      <c r="I133" s="146"/>
      <c r="J133" s="25"/>
      <c r="K133" s="147"/>
      <c r="L133" s="24"/>
      <c r="M133" s="145"/>
      <c r="N133" s="147"/>
      <c r="O133" s="148"/>
      <c r="P133" s="24"/>
      <c r="Q133" s="148"/>
      <c r="R133" s="149"/>
      <c r="S133" s="146"/>
      <c r="T133" s="149"/>
      <c r="U133" s="53"/>
      <c r="V133" s="150"/>
      <c r="W133" s="255"/>
      <c r="X133" s="150"/>
      <c r="Y133" s="22"/>
    </row>
    <row r="134" spans="1:25" ht="15" customHeight="1">
      <c r="A134" s="22"/>
      <c r="B134" s="142"/>
      <c r="C134" s="201"/>
      <c r="D134" s="142"/>
      <c r="E134" s="144"/>
      <c r="F134" s="145"/>
      <c r="G134" s="144"/>
      <c r="H134" s="25"/>
      <c r="I134" s="146"/>
      <c r="J134" s="25"/>
      <c r="K134" s="147"/>
      <c r="L134" s="24"/>
      <c r="M134" s="145"/>
      <c r="N134" s="147"/>
      <c r="O134" s="148"/>
      <c r="P134" s="24"/>
      <c r="Q134" s="148"/>
      <c r="R134" s="149"/>
      <c r="S134" s="146"/>
      <c r="T134" s="149"/>
      <c r="U134" s="53"/>
      <c r="V134" s="150"/>
      <c r="W134" s="255"/>
      <c r="X134" s="150"/>
      <c r="Y134" s="22"/>
    </row>
    <row r="135" spans="1:25" ht="15" hidden="1">
      <c r="A135" s="22"/>
      <c r="B135" s="142"/>
      <c r="C135" s="201"/>
      <c r="D135" s="142"/>
      <c r="E135" s="144"/>
      <c r="F135" s="145"/>
      <c r="G135" s="144"/>
      <c r="H135" s="25"/>
      <c r="I135" s="146"/>
      <c r="J135" s="25"/>
      <c r="K135" s="147"/>
      <c r="L135" s="24"/>
      <c r="M135" s="145"/>
      <c r="N135" s="147"/>
      <c r="O135" s="148"/>
      <c r="P135" s="24"/>
      <c r="Q135" s="148"/>
      <c r="R135" s="149"/>
      <c r="S135" s="146"/>
      <c r="T135" s="149"/>
      <c r="U135" s="53"/>
      <c r="V135" s="150"/>
      <c r="W135" s="255"/>
      <c r="X135" s="150"/>
      <c r="Y135" s="22"/>
    </row>
    <row r="136" spans="1:25" ht="15" hidden="1">
      <c r="A136" s="22"/>
      <c r="B136" s="142"/>
      <c r="C136" s="202"/>
      <c r="D136" s="142"/>
      <c r="E136" s="144"/>
      <c r="F136" s="145"/>
      <c r="G136" s="144"/>
      <c r="H136" s="25"/>
      <c r="I136" s="146"/>
      <c r="J136" s="25"/>
      <c r="K136" s="147"/>
      <c r="L136" s="24"/>
      <c r="M136" s="145"/>
      <c r="N136" s="147"/>
      <c r="O136" s="148"/>
      <c r="P136" s="24"/>
      <c r="Q136" s="148"/>
      <c r="R136" s="149"/>
      <c r="S136" s="146"/>
      <c r="T136" s="149"/>
      <c r="U136" s="53"/>
      <c r="V136" s="150"/>
      <c r="W136" s="255"/>
      <c r="X136" s="150"/>
      <c r="Y136" s="22"/>
    </row>
    <row r="137" spans="1:25" ht="18.75">
      <c r="A137" s="22"/>
      <c r="B137" s="142"/>
      <c r="C137" s="203" t="s">
        <v>190</v>
      </c>
      <c r="D137" s="142"/>
      <c r="E137" s="144"/>
      <c r="F137" s="145"/>
      <c r="G137" s="144"/>
      <c r="H137" s="25"/>
      <c r="I137" s="146"/>
      <c r="J137" s="25"/>
      <c r="K137" s="147"/>
      <c r="L137" s="24"/>
      <c r="M137" s="145"/>
      <c r="N137" s="147"/>
      <c r="O137" s="148"/>
      <c r="P137" s="24"/>
      <c r="Q137" s="148"/>
      <c r="R137" s="149"/>
      <c r="S137" s="146"/>
      <c r="T137" s="149"/>
      <c r="U137" s="53"/>
      <c r="V137" s="150"/>
      <c r="W137" s="255"/>
      <c r="X137" s="150"/>
      <c r="Y137" s="22"/>
    </row>
    <row r="138" spans="1:25" ht="7.5" customHeight="1">
      <c r="A138" s="22"/>
      <c r="B138" s="142"/>
      <c r="C138" s="202"/>
      <c r="D138" s="142"/>
      <c r="E138" s="144"/>
      <c r="F138" s="145"/>
      <c r="G138" s="144"/>
      <c r="H138" s="25"/>
      <c r="I138" s="146"/>
      <c r="J138" s="25"/>
      <c r="K138" s="147"/>
      <c r="L138" s="24"/>
      <c r="M138" s="145"/>
      <c r="N138" s="147"/>
      <c r="O138" s="148"/>
      <c r="P138" s="24"/>
      <c r="Q138" s="148"/>
      <c r="R138" s="149"/>
      <c r="S138" s="146"/>
      <c r="T138" s="149"/>
      <c r="U138" s="53"/>
      <c r="V138" s="150"/>
      <c r="W138" s="255"/>
      <c r="X138" s="150"/>
      <c r="Y138" s="22"/>
    </row>
    <row r="139" spans="1:25" ht="15" hidden="1" thickBot="1">
      <c r="A139" s="22"/>
      <c r="B139" s="142"/>
      <c r="C139" s="204"/>
      <c r="D139" s="142"/>
      <c r="E139" s="144"/>
      <c r="F139" s="145"/>
      <c r="G139" s="144"/>
      <c r="H139" s="25"/>
      <c r="I139" s="177"/>
      <c r="J139" s="25"/>
      <c r="K139" s="147"/>
      <c r="L139" s="24"/>
      <c r="M139" s="145"/>
      <c r="N139" s="147"/>
      <c r="O139" s="148"/>
      <c r="P139" s="24"/>
      <c r="Q139" s="148"/>
      <c r="R139" s="149"/>
      <c r="S139" s="146"/>
      <c r="T139" s="149"/>
      <c r="U139" s="53"/>
      <c r="V139" s="150"/>
      <c r="W139" s="255"/>
      <c r="X139" s="150"/>
      <c r="Y139" s="22"/>
    </row>
    <row r="140" spans="1:25" ht="15">
      <c r="A140" s="22"/>
      <c r="B140" s="142"/>
      <c r="C140" s="205" t="s">
        <v>189</v>
      </c>
      <c r="D140" s="142"/>
      <c r="E140" s="144"/>
      <c r="F140" s="206"/>
      <c r="G140" s="144"/>
      <c r="H140" s="25"/>
      <c r="I140" s="298"/>
      <c r="J140" s="25"/>
      <c r="K140" s="147"/>
      <c r="L140" s="206" t="s">
        <v>191</v>
      </c>
      <c r="M140" s="206"/>
      <c r="N140" s="147"/>
      <c r="O140" s="148"/>
      <c r="P140" s="179">
        <f>IF(NOT(NOT(IF(ISERROR(I140),ERROR.TYPE(#REF!)=ERROR.TYPE(I140),FALSE))),"Fail",IF(NOT(NOT(ISBLANK(I140))),"Fail",IF(NOT(ISNUMBER(I140)),"Fail",IF(NOT(LEN(I140)-FIND(".",I140&amp;".")&lt;=1),"Fail",IF(NOT(I140&gt;=0),"Fail","Pass")))))</f>
      </c>
      <c r="Q140" s="148"/>
      <c r="R140" s="149"/>
      <c r="S140" s="207">
        <f>IF(NOT(NOT(IF(ISERROR(I140),ERROR.TYPE(#REF!)=ERROR.TYPE(I140),FALSE))),"UNDO NOW (use button or Ctrl+Z)! CANNOT DRAG-AND-DROP CELLS",IF(NOT(NOT(ISBLANK(I140))),"input required",IF(NOT(ISNUMBER(I140)),"enter a number",IF(NOT(LEN(I140)-FIND(".",I140&amp;".")&lt;=1),"only 1 decimal place(s) allowed",IF(NOT(I140&gt;=0),"must be &gt;= 0","")))))</f>
      </c>
      <c r="T140" s="149"/>
      <c r="U140" s="53"/>
      <c r="V140" s="150"/>
      <c r="W140" s="255"/>
      <c r="X140" s="150"/>
      <c r="Y140" s="22"/>
    </row>
    <row r="141" spans="1:25" ht="15">
      <c r="A141" s="22"/>
      <c r="B141" s="142"/>
      <c r="C141" s="205" t="s">
        <v>188</v>
      </c>
      <c r="D141" s="142"/>
      <c r="E141" s="144"/>
      <c r="F141" s="206"/>
      <c r="G141" s="144"/>
      <c r="H141" s="25"/>
      <c r="I141" s="297"/>
      <c r="J141" s="25"/>
      <c r="K141" s="147"/>
      <c r="L141" s="206" t="s">
        <v>191</v>
      </c>
      <c r="M141" s="206"/>
      <c r="N141" s="147"/>
      <c r="O141" s="148"/>
      <c r="P141" s="179">
        <f>IF(NOT(NOT(IF(ISERROR(I141),ERROR.TYPE(#REF!)=ERROR.TYPE(I141),FALSE))),"Fail",IF(NOT(NOT(ISBLANK(I141))),"Fail",IF(NOT(ISNUMBER(I141)),"Fail",IF(NOT(LEN(I141)-FIND(".",I141&amp;".")&lt;=1),"Fail",IF(NOT(I141&gt;=0),"Fail","Pass")))))</f>
      </c>
      <c r="Q141" s="148"/>
      <c r="R141" s="149"/>
      <c r="S141" s="207">
        <f>IF(NOT(NOT(IF(ISERROR(I141),ERROR.TYPE(#REF!)=ERROR.TYPE(I141),FALSE))),"UNDO NOW (use button or Ctrl+Z)! CANNOT DRAG-AND-DROP CELLS",IF(NOT(NOT(ISBLANK(I141))),"input required",IF(NOT(ISNUMBER(I141)),"enter a number",IF(NOT(LEN(I141)-FIND(".",I141&amp;".")&lt;=1),"only 1 decimal place(s) allowed",IF(NOT(I141&gt;=0),"must be &gt;= 0","")))))</f>
      </c>
      <c r="T141" s="149"/>
      <c r="U141" s="53"/>
      <c r="V141" s="150"/>
      <c r="W141" s="255"/>
      <c r="X141" s="150"/>
      <c r="Y141" s="22"/>
    </row>
    <row r="142" spans="1:25" ht="15" thickBot="1">
      <c r="A142" s="22"/>
      <c r="B142" s="142"/>
      <c r="C142" s="205" t="s">
        <v>187</v>
      </c>
      <c r="D142" s="142"/>
      <c r="E142" s="144"/>
      <c r="F142" s="206"/>
      <c r="G142" s="144"/>
      <c r="H142" s="25"/>
      <c r="I142" s="299"/>
      <c r="J142" s="25"/>
      <c r="K142" s="147"/>
      <c r="L142" s="206" t="s">
        <v>191</v>
      </c>
      <c r="M142" s="206"/>
      <c r="N142" s="147"/>
      <c r="O142" s="148"/>
      <c r="P142" s="179">
        <f>IF(NOT(NOT(IF(ISERROR(I142),ERROR.TYPE(#REF!)=ERROR.TYPE(I142),FALSE))),"Fail",IF(NOT(NOT(ISBLANK(I142))),"Fail",IF(NOT(ISNUMBER(I142)),"Fail",IF(NOT(LEN(I142)-FIND(".",I142&amp;".")&lt;=1),"Fail",IF(NOT(I142&gt;=0),"Fail","Pass")))))</f>
      </c>
      <c r="Q142" s="148"/>
      <c r="R142" s="149"/>
      <c r="S142" s="207">
        <f>IF(NOT(NOT(IF(ISERROR(I142),ERROR.TYPE(#REF!)=ERROR.TYPE(I142),FALSE))),"UNDO NOW (use button or Ctrl+Z)! CANNOT DRAG-AND-DROP CELLS",IF(NOT(NOT(ISBLANK(I142))),"input required",IF(NOT(ISNUMBER(I142)),"enter a number",IF(NOT(LEN(I142)-FIND(".",I142&amp;".")&lt;=1),"only 1 decimal place(s) allowed",IF(NOT(I142&gt;=0),"must be &gt;= 0","")))))</f>
      </c>
      <c r="T142" s="149"/>
      <c r="U142" s="53"/>
      <c r="V142" s="150"/>
      <c r="W142" s="255"/>
      <c r="X142" s="150"/>
      <c r="Y142" s="22"/>
    </row>
    <row r="143" spans="1:25" ht="15" hidden="1">
      <c r="A143" s="22"/>
      <c r="B143" s="142"/>
      <c r="C143" s="204"/>
      <c r="D143" s="142"/>
      <c r="E143" s="144"/>
      <c r="F143" s="145"/>
      <c r="G143" s="144"/>
      <c r="H143" s="25"/>
      <c r="I143" s="146"/>
      <c r="J143" s="25"/>
      <c r="K143" s="147"/>
      <c r="L143" s="24"/>
      <c r="M143" s="145"/>
      <c r="N143" s="147"/>
      <c r="O143" s="148"/>
      <c r="P143" s="24"/>
      <c r="Q143" s="148"/>
      <c r="R143" s="149"/>
      <c r="S143" s="146"/>
      <c r="T143" s="149"/>
      <c r="U143" s="53"/>
      <c r="V143" s="150"/>
      <c r="W143" s="255"/>
      <c r="X143" s="150"/>
      <c r="Y143" s="22"/>
    </row>
    <row r="144" spans="1:25" ht="15" hidden="1" thickBot="1">
      <c r="A144" s="22"/>
      <c r="B144" s="142"/>
      <c r="C144" s="226"/>
      <c r="D144" s="142"/>
      <c r="E144" s="144"/>
      <c r="F144" s="145"/>
      <c r="G144" s="144"/>
      <c r="H144" s="25"/>
      <c r="I144" s="177"/>
      <c r="J144" s="25"/>
      <c r="K144" s="147"/>
      <c r="L144" s="24"/>
      <c r="M144" s="145"/>
      <c r="N144" s="147"/>
      <c r="O144" s="148"/>
      <c r="P144" s="24"/>
      <c r="Q144" s="148"/>
      <c r="R144" s="149"/>
      <c r="S144" s="146"/>
      <c r="T144" s="149"/>
      <c r="U144" s="53"/>
      <c r="V144" s="150"/>
      <c r="W144" s="255"/>
      <c r="X144" s="150"/>
      <c r="Y144" s="22"/>
    </row>
    <row r="145" spans="1:25" ht="15" thickBot="1">
      <c r="A145" s="22"/>
      <c r="B145" s="142"/>
      <c r="C145" s="227" t="s">
        <v>186</v>
      </c>
      <c r="D145" s="142"/>
      <c r="E145" s="144"/>
      <c r="F145" s="206"/>
      <c r="G145" s="144"/>
      <c r="H145" s="25"/>
      <c r="I145" s="278">
        <f>IF(AND(OR(ISBLANK(I140),I140=""),OR(ISBLANK(I141),I141=""),OR(ISBLANK(I142),I142="")),"",SUM(I140,I141,I142))</f>
      </c>
      <c r="J145" s="25"/>
      <c r="K145" s="147"/>
      <c r="L145" s="206" t="s">
        <v>191</v>
      </c>
      <c r="M145" s="206"/>
      <c r="N145" s="147"/>
      <c r="O145" s="148"/>
      <c r="P145" s="179">
        <f>IF(TRUE,"PassBecauseNoConstraints","ERROR")</f>
      </c>
      <c r="Q145" s="148"/>
      <c r="R145" s="149"/>
      <c r="S145" s="207">
        <f>IF(TRUE,"","ERROR")</f>
      </c>
      <c r="T145" s="149"/>
      <c r="U145" s="53"/>
      <c r="V145" s="150"/>
      <c r="W145" s="255"/>
      <c r="X145" s="150"/>
      <c r="Y145" s="22"/>
    </row>
    <row r="146" spans="1:25" ht="15" hidden="1">
      <c r="A146" s="22"/>
      <c r="B146" s="142"/>
      <c r="C146" s="226"/>
      <c r="D146" s="142"/>
      <c r="E146" s="144"/>
      <c r="F146" s="145"/>
      <c r="G146" s="144"/>
      <c r="H146" s="25"/>
      <c r="I146" s="146"/>
      <c r="J146" s="25"/>
      <c r="K146" s="147"/>
      <c r="L146" s="24"/>
      <c r="M146" s="145"/>
      <c r="N146" s="147"/>
      <c r="O146" s="148"/>
      <c r="P146" s="24"/>
      <c r="Q146" s="148"/>
      <c r="R146" s="149"/>
      <c r="S146" s="146"/>
      <c r="T146" s="149"/>
      <c r="U146" s="53"/>
      <c r="V146" s="150"/>
      <c r="W146" s="255"/>
      <c r="X146" s="150"/>
      <c r="Y146" s="22"/>
    </row>
    <row r="147" spans="1:25" ht="15" customHeight="1">
      <c r="A147" s="22"/>
      <c r="B147" s="142"/>
      <c r="C147" s="201"/>
      <c r="D147" s="142"/>
      <c r="E147" s="144"/>
      <c r="F147" s="145"/>
      <c r="G147" s="144"/>
      <c r="H147" s="25"/>
      <c r="I147" s="146"/>
      <c r="J147" s="25"/>
      <c r="K147" s="147"/>
      <c r="L147" s="24"/>
      <c r="M147" s="145"/>
      <c r="N147" s="147"/>
      <c r="O147" s="148"/>
      <c r="P147" s="24"/>
      <c r="Q147" s="148"/>
      <c r="R147" s="149"/>
      <c r="S147" s="146"/>
      <c r="T147" s="149"/>
      <c r="U147" s="53"/>
      <c r="V147" s="150"/>
      <c r="W147" s="255"/>
      <c r="X147" s="150"/>
      <c r="Y147" s="22"/>
    </row>
    <row r="148" spans="1:25" ht="15" hidden="1">
      <c r="A148" s="22"/>
      <c r="B148" s="142"/>
      <c r="C148" s="201"/>
      <c r="D148" s="142"/>
      <c r="E148" s="144"/>
      <c r="F148" s="145"/>
      <c r="G148" s="144"/>
      <c r="H148" s="25"/>
      <c r="I148" s="146"/>
      <c r="J148" s="25"/>
      <c r="K148" s="147"/>
      <c r="L148" s="24"/>
      <c r="M148" s="145"/>
      <c r="N148" s="147"/>
      <c r="O148" s="148"/>
      <c r="P148" s="24"/>
      <c r="Q148" s="148"/>
      <c r="R148" s="149"/>
      <c r="S148" s="146"/>
      <c r="T148" s="149"/>
      <c r="U148" s="53"/>
      <c r="V148" s="150"/>
      <c r="W148" s="255"/>
      <c r="X148" s="150"/>
      <c r="Y148" s="22"/>
    </row>
    <row r="149" spans="1:25" ht="15" hidden="1">
      <c r="A149" s="22"/>
      <c r="B149" s="142"/>
      <c r="C149" s="202"/>
      <c r="D149" s="142"/>
      <c r="E149" s="144"/>
      <c r="F149" s="145"/>
      <c r="G149" s="144"/>
      <c r="H149" s="25"/>
      <c r="I149" s="146"/>
      <c r="J149" s="25"/>
      <c r="K149" s="147"/>
      <c r="L149" s="24"/>
      <c r="M149" s="145"/>
      <c r="N149" s="147"/>
      <c r="O149" s="148"/>
      <c r="P149" s="24"/>
      <c r="Q149" s="148"/>
      <c r="R149" s="149"/>
      <c r="S149" s="146"/>
      <c r="T149" s="149"/>
      <c r="U149" s="53"/>
      <c r="V149" s="150"/>
      <c r="W149" s="255"/>
      <c r="X149" s="150"/>
      <c r="Y149" s="22"/>
    </row>
    <row r="150" spans="1:25" ht="18.75">
      <c r="A150" s="22"/>
      <c r="B150" s="142"/>
      <c r="C150" s="203" t="s">
        <v>185</v>
      </c>
      <c r="D150" s="142"/>
      <c r="E150" s="144"/>
      <c r="F150" s="145"/>
      <c r="G150" s="144"/>
      <c r="H150" s="25"/>
      <c r="I150" s="146"/>
      <c r="J150" s="25"/>
      <c r="K150" s="147"/>
      <c r="L150" s="24"/>
      <c r="M150" s="145"/>
      <c r="N150" s="147"/>
      <c r="O150" s="148"/>
      <c r="P150" s="24"/>
      <c r="Q150" s="148"/>
      <c r="R150" s="149"/>
      <c r="S150" s="146"/>
      <c r="T150" s="149"/>
      <c r="U150" s="53"/>
      <c r="V150" s="150"/>
      <c r="W150" s="255"/>
      <c r="X150" s="150"/>
      <c r="Y150" s="22"/>
    </row>
    <row r="151" spans="1:25" ht="7.5" customHeight="1">
      <c r="A151" s="22"/>
      <c r="B151" s="142"/>
      <c r="C151" s="202"/>
      <c r="D151" s="142"/>
      <c r="E151" s="144"/>
      <c r="F151" s="145"/>
      <c r="G151" s="144"/>
      <c r="H151" s="25"/>
      <c r="I151" s="146"/>
      <c r="J151" s="25"/>
      <c r="K151" s="147"/>
      <c r="L151" s="24"/>
      <c r="M151" s="145"/>
      <c r="N151" s="147"/>
      <c r="O151" s="148"/>
      <c r="P151" s="24"/>
      <c r="Q151" s="148"/>
      <c r="R151" s="149"/>
      <c r="S151" s="146"/>
      <c r="T151" s="149"/>
      <c r="U151" s="53"/>
      <c r="V151" s="150"/>
      <c r="W151" s="255"/>
      <c r="X151" s="150"/>
      <c r="Y151" s="22"/>
    </row>
    <row r="152" spans="1:25" ht="15" hidden="1" thickBot="1">
      <c r="A152" s="22"/>
      <c r="B152" s="142"/>
      <c r="C152" s="204"/>
      <c r="D152" s="142"/>
      <c r="E152" s="144"/>
      <c r="F152" s="145"/>
      <c r="G152" s="144"/>
      <c r="H152" s="25"/>
      <c r="I152" s="177"/>
      <c r="J152" s="25"/>
      <c r="K152" s="147"/>
      <c r="L152" s="24"/>
      <c r="M152" s="145"/>
      <c r="N152" s="147"/>
      <c r="O152" s="148"/>
      <c r="P152" s="24"/>
      <c r="Q152" s="148"/>
      <c r="R152" s="149"/>
      <c r="S152" s="146"/>
      <c r="T152" s="149"/>
      <c r="U152" s="53"/>
      <c r="V152" s="150"/>
      <c r="W152" s="255"/>
      <c r="X152" s="150"/>
      <c r="Y152" s="22"/>
    </row>
    <row r="153" spans="1:25" ht="15">
      <c r="A153" s="22"/>
      <c r="B153" s="142"/>
      <c r="C153" s="205" t="s">
        <v>184</v>
      </c>
      <c r="D153" s="142"/>
      <c r="E153" s="144"/>
      <c r="F153" s="206"/>
      <c r="G153" s="144"/>
      <c r="H153" s="25"/>
      <c r="I153" s="298"/>
      <c r="J153" s="25"/>
      <c r="K153" s="147"/>
      <c r="L153" s="206" t="s">
        <v>191</v>
      </c>
      <c r="M153" s="206"/>
      <c r="N153" s="147"/>
      <c r="O153" s="148"/>
      <c r="P153" s="179">
        <f>IF(NOT(NOT(IF(ISERROR(I153),ERROR.TYPE(#REF!)=ERROR.TYPE(I153),FALSE))),"Fail",IF(NOT(NOT(ISBLANK(I153))),"Fail",IF(NOT(ISNUMBER(I153)),"Fail",IF(NOT(LEN(I153)-FIND(".",I153&amp;".")&lt;=1),"Fail",IF(NOT(I153&gt;=0),"Fail","Pass")))))</f>
      </c>
      <c r="Q153" s="148"/>
      <c r="R153" s="149"/>
      <c r="S153" s="207">
        <f>IF(NOT(NOT(IF(ISERROR(I153),ERROR.TYPE(#REF!)=ERROR.TYPE(I153),FALSE))),"UNDO NOW (use button or Ctrl+Z)! CANNOT DRAG-AND-DROP CELLS",IF(NOT(NOT(ISBLANK(I153))),"input required",IF(NOT(ISNUMBER(I153)),"enter a number",IF(NOT(LEN(I153)-FIND(".",I153&amp;".")&lt;=1),"only 1 decimal place(s) allowed",IF(NOT(I153&gt;=0),"must be &gt;= 0","")))))</f>
      </c>
      <c r="T153" s="149"/>
      <c r="U153" s="53"/>
      <c r="V153" s="150"/>
      <c r="W153" s="255"/>
      <c r="X153" s="150"/>
      <c r="Y153" s="22"/>
    </row>
    <row r="154" spans="1:25" ht="15">
      <c r="A154" s="22"/>
      <c r="B154" s="142"/>
      <c r="C154" s="205" t="s">
        <v>183</v>
      </c>
      <c r="D154" s="142"/>
      <c r="E154" s="144"/>
      <c r="F154" s="206"/>
      <c r="G154" s="144"/>
      <c r="H154" s="25"/>
      <c r="I154" s="297"/>
      <c r="J154" s="25"/>
      <c r="K154" s="147"/>
      <c r="L154" s="206" t="s">
        <v>191</v>
      </c>
      <c r="M154" s="206"/>
      <c r="N154" s="147"/>
      <c r="O154" s="148"/>
      <c r="P154" s="179">
        <f>IF(NOT(NOT(IF(ISERROR(I154),ERROR.TYPE(#REF!)=ERROR.TYPE(I154),FALSE))),"Fail",IF(NOT(NOT(ISBLANK(I154))),"Fail",IF(NOT(ISNUMBER(I154)),"Fail",IF(NOT(LEN(I154)-FIND(".",I154&amp;".")&lt;=1),"Fail",IF(NOT(I154&gt;=0),"Fail","Pass")))))</f>
      </c>
      <c r="Q154" s="148"/>
      <c r="R154" s="149"/>
      <c r="S154" s="207">
        <f>IF(NOT(NOT(IF(ISERROR(I154),ERROR.TYPE(#REF!)=ERROR.TYPE(I154),FALSE))),"UNDO NOW (use button or Ctrl+Z)! CANNOT DRAG-AND-DROP CELLS",IF(NOT(NOT(ISBLANK(I154))),"input required",IF(NOT(ISNUMBER(I154)),"enter a number",IF(NOT(LEN(I154)-FIND(".",I154&amp;".")&lt;=1),"only 1 decimal place(s) allowed",IF(NOT(I154&gt;=0),"must be &gt;= 0","")))))</f>
      </c>
      <c r="T154" s="149"/>
      <c r="U154" s="53"/>
      <c r="V154" s="150"/>
      <c r="W154" s="255"/>
      <c r="X154" s="150"/>
      <c r="Y154" s="22"/>
    </row>
    <row r="155" spans="1:25" ht="15" thickBot="1">
      <c r="A155" s="22"/>
      <c r="B155" s="142"/>
      <c r="C155" s="205" t="s">
        <v>182</v>
      </c>
      <c r="D155" s="142"/>
      <c r="E155" s="144"/>
      <c r="F155" s="206"/>
      <c r="G155" s="144"/>
      <c r="H155" s="25"/>
      <c r="I155" s="299"/>
      <c r="J155" s="25"/>
      <c r="K155" s="147"/>
      <c r="L155" s="206" t="s">
        <v>191</v>
      </c>
      <c r="M155" s="206"/>
      <c r="N155" s="147"/>
      <c r="O155" s="148"/>
      <c r="P155" s="179">
        <f>IF(NOT(NOT(IF(ISERROR(I155),ERROR.TYPE(#REF!)=ERROR.TYPE(I155),FALSE))),"Fail",IF(NOT(NOT(ISBLANK(I155))),"Fail",IF(NOT(ISNUMBER(I155)),"Fail",IF(NOT(LEN(I155)-FIND(".",I155&amp;".")&lt;=1),"Fail",IF(NOT(I155&gt;=0),"Fail","Pass")))))</f>
      </c>
      <c r="Q155" s="148"/>
      <c r="R155" s="149"/>
      <c r="S155" s="207">
        <f>IF(NOT(NOT(IF(ISERROR(I155),ERROR.TYPE(#REF!)=ERROR.TYPE(I155),FALSE))),"UNDO NOW (use button or Ctrl+Z)! CANNOT DRAG-AND-DROP CELLS",IF(NOT(NOT(ISBLANK(I155))),"input required",IF(NOT(ISNUMBER(I155)),"enter a number",IF(NOT(LEN(I155)-FIND(".",I155&amp;".")&lt;=1),"only 1 decimal place(s) allowed",IF(NOT(I155&gt;=0),"must be &gt;= 0","")))))</f>
      </c>
      <c r="T155" s="149"/>
      <c r="U155" s="53"/>
      <c r="V155" s="150"/>
      <c r="W155" s="255"/>
      <c r="X155" s="150"/>
      <c r="Y155" s="22"/>
    </row>
    <row r="156" spans="1:25" ht="15" hidden="1">
      <c r="A156" s="22"/>
      <c r="B156" s="142"/>
      <c r="C156" s="204"/>
      <c r="D156" s="142"/>
      <c r="E156" s="144"/>
      <c r="F156" s="145"/>
      <c r="G156" s="144"/>
      <c r="H156" s="25"/>
      <c r="I156" s="146"/>
      <c r="J156" s="25"/>
      <c r="K156" s="147"/>
      <c r="L156" s="24"/>
      <c r="M156" s="145"/>
      <c r="N156" s="147"/>
      <c r="O156" s="148"/>
      <c r="P156" s="24"/>
      <c r="Q156" s="148"/>
      <c r="R156" s="149"/>
      <c r="S156" s="146"/>
      <c r="T156" s="149"/>
      <c r="U156" s="53"/>
      <c r="V156" s="150"/>
      <c r="W156" s="255"/>
      <c r="X156" s="150"/>
      <c r="Y156" s="22"/>
    </row>
    <row r="157" spans="1:25" ht="15" hidden="1" thickBot="1">
      <c r="A157" s="22"/>
      <c r="B157" s="142"/>
      <c r="C157" s="226"/>
      <c r="D157" s="142"/>
      <c r="E157" s="144"/>
      <c r="F157" s="145"/>
      <c r="G157" s="144"/>
      <c r="H157" s="25"/>
      <c r="I157" s="177"/>
      <c r="J157" s="25"/>
      <c r="K157" s="147"/>
      <c r="L157" s="24"/>
      <c r="M157" s="145"/>
      <c r="N157" s="147"/>
      <c r="O157" s="148"/>
      <c r="P157" s="24"/>
      <c r="Q157" s="148"/>
      <c r="R157" s="149"/>
      <c r="S157" s="146"/>
      <c r="T157" s="149"/>
      <c r="U157" s="53"/>
      <c r="V157" s="150"/>
      <c r="W157" s="255"/>
      <c r="X157" s="150"/>
      <c r="Y157" s="22"/>
    </row>
    <row r="158" spans="1:25" ht="15" thickBot="1">
      <c r="A158" s="22"/>
      <c r="B158" s="142"/>
      <c r="C158" s="227" t="s">
        <v>181</v>
      </c>
      <c r="D158" s="142"/>
      <c r="E158" s="144"/>
      <c r="F158" s="206"/>
      <c r="G158" s="144"/>
      <c r="H158" s="25"/>
      <c r="I158" s="278">
        <f>IF(AND(OR(ISBLANK(I153),I153=""),OR(ISBLANK(I154),I154=""),OR(ISBLANK(I155),I155="")),"",SUM(I153,I154,I155))</f>
      </c>
      <c r="J158" s="25"/>
      <c r="K158" s="147"/>
      <c r="L158" s="206" t="s">
        <v>191</v>
      </c>
      <c r="M158" s="206"/>
      <c r="N158" s="147"/>
      <c r="O158" s="148"/>
      <c r="P158" s="179">
        <f>IF(TRUE,"PassBecauseNoConstraints","ERROR")</f>
      </c>
      <c r="Q158" s="148"/>
      <c r="R158" s="149"/>
      <c r="S158" s="207">
        <f>IF(TRUE,"","ERROR")</f>
      </c>
      <c r="T158" s="149"/>
      <c r="U158" s="53"/>
      <c r="V158" s="150"/>
      <c r="W158" s="255"/>
      <c r="X158" s="150"/>
      <c r="Y158" s="22"/>
    </row>
    <row r="159" spans="1:25" ht="15" hidden="1">
      <c r="A159" s="22"/>
      <c r="B159" s="142"/>
      <c r="C159" s="226"/>
      <c r="D159" s="142"/>
      <c r="E159" s="144"/>
      <c r="F159" s="145"/>
      <c r="G159" s="144"/>
      <c r="H159" s="25"/>
      <c r="I159" s="146"/>
      <c r="J159" s="25"/>
      <c r="K159" s="147"/>
      <c r="L159" s="24"/>
      <c r="M159" s="145"/>
      <c r="N159" s="147"/>
      <c r="O159" s="148"/>
      <c r="P159" s="24"/>
      <c r="Q159" s="148"/>
      <c r="R159" s="149"/>
      <c r="S159" s="146"/>
      <c r="T159" s="149"/>
      <c r="U159" s="53"/>
      <c r="V159" s="150"/>
      <c r="W159" s="255"/>
      <c r="X159" s="150"/>
      <c r="Y159" s="22"/>
    </row>
    <row r="160" spans="1:25" ht="15" customHeight="1">
      <c r="A160" s="22"/>
      <c r="B160" s="142"/>
      <c r="C160" s="201"/>
      <c r="D160" s="142"/>
      <c r="E160" s="144"/>
      <c r="F160" s="145"/>
      <c r="G160" s="144"/>
      <c r="H160" s="25"/>
      <c r="I160" s="146"/>
      <c r="J160" s="25"/>
      <c r="K160" s="147"/>
      <c r="L160" s="24"/>
      <c r="M160" s="145"/>
      <c r="N160" s="147"/>
      <c r="O160" s="148"/>
      <c r="P160" s="24"/>
      <c r="Q160" s="148"/>
      <c r="R160" s="149"/>
      <c r="S160" s="146"/>
      <c r="T160" s="149"/>
      <c r="U160" s="53"/>
      <c r="V160" s="150"/>
      <c r="W160" s="255"/>
      <c r="X160" s="150"/>
      <c r="Y160" s="22"/>
    </row>
    <row r="161" spans="1:25" ht="15" hidden="1">
      <c r="A161" s="22"/>
      <c r="B161" s="142"/>
      <c r="C161" s="201"/>
      <c r="D161" s="142"/>
      <c r="E161" s="144"/>
      <c r="F161" s="145"/>
      <c r="G161" s="144"/>
      <c r="H161" s="25"/>
      <c r="I161" s="146"/>
      <c r="J161" s="25"/>
      <c r="K161" s="147"/>
      <c r="L161" s="24"/>
      <c r="M161" s="145"/>
      <c r="N161" s="147"/>
      <c r="O161" s="148"/>
      <c r="P161" s="24"/>
      <c r="Q161" s="148"/>
      <c r="R161" s="149"/>
      <c r="S161" s="146"/>
      <c r="T161" s="149"/>
      <c r="U161" s="53"/>
      <c r="V161" s="150"/>
      <c r="W161" s="255"/>
      <c r="X161" s="150"/>
      <c r="Y161" s="22"/>
    </row>
    <row r="162" spans="1:25" ht="15" hidden="1">
      <c r="A162" s="22"/>
      <c r="B162" s="142"/>
      <c r="C162" s="202"/>
      <c r="D162" s="142"/>
      <c r="E162" s="144"/>
      <c r="F162" s="145"/>
      <c r="G162" s="144"/>
      <c r="H162" s="25"/>
      <c r="I162" s="146"/>
      <c r="J162" s="25"/>
      <c r="K162" s="147"/>
      <c r="L162" s="24"/>
      <c r="M162" s="145"/>
      <c r="N162" s="147"/>
      <c r="O162" s="148"/>
      <c r="P162" s="24"/>
      <c r="Q162" s="148"/>
      <c r="R162" s="149"/>
      <c r="S162" s="146"/>
      <c r="T162" s="149"/>
      <c r="U162" s="53"/>
      <c r="V162" s="150"/>
      <c r="W162" s="255"/>
      <c r="X162" s="150"/>
      <c r="Y162" s="22"/>
    </row>
    <row r="163" spans="1:25" ht="18.75">
      <c r="A163" s="22"/>
      <c r="B163" s="142"/>
      <c r="C163" s="203" t="s">
        <v>180</v>
      </c>
      <c r="D163" s="142"/>
      <c r="E163" s="144"/>
      <c r="F163" s="145"/>
      <c r="G163" s="144"/>
      <c r="H163" s="25"/>
      <c r="I163" s="146"/>
      <c r="J163" s="25"/>
      <c r="K163" s="147"/>
      <c r="L163" s="24"/>
      <c r="M163" s="145"/>
      <c r="N163" s="147"/>
      <c r="O163" s="148"/>
      <c r="P163" s="24"/>
      <c r="Q163" s="148"/>
      <c r="R163" s="149"/>
      <c r="S163" s="146"/>
      <c r="T163" s="149"/>
      <c r="U163" s="53"/>
      <c r="V163" s="150"/>
      <c r="W163" s="255"/>
      <c r="X163" s="150"/>
      <c r="Y163" s="22"/>
    </row>
    <row r="164" spans="1:25" ht="7.5" customHeight="1">
      <c r="A164" s="22"/>
      <c r="B164" s="142"/>
      <c r="C164" s="202"/>
      <c r="D164" s="142"/>
      <c r="E164" s="144"/>
      <c r="F164" s="145"/>
      <c r="G164" s="144"/>
      <c r="H164" s="25"/>
      <c r="I164" s="146"/>
      <c r="J164" s="25"/>
      <c r="K164" s="147"/>
      <c r="L164" s="24"/>
      <c r="M164" s="145"/>
      <c r="N164" s="147"/>
      <c r="O164" s="148"/>
      <c r="P164" s="24"/>
      <c r="Q164" s="148"/>
      <c r="R164" s="149"/>
      <c r="S164" s="146"/>
      <c r="T164" s="149"/>
      <c r="U164" s="53"/>
      <c r="V164" s="150"/>
      <c r="W164" s="255"/>
      <c r="X164" s="150"/>
      <c r="Y164" s="22"/>
    </row>
    <row r="165" spans="1:25" ht="15" hidden="1" thickBot="1">
      <c r="A165" s="22"/>
      <c r="B165" s="142"/>
      <c r="C165" s="204"/>
      <c r="D165" s="142"/>
      <c r="E165" s="144"/>
      <c r="F165" s="145"/>
      <c r="G165" s="144"/>
      <c r="H165" s="25"/>
      <c r="I165" s="177"/>
      <c r="J165" s="25"/>
      <c r="K165" s="147"/>
      <c r="L165" s="24"/>
      <c r="M165" s="145"/>
      <c r="N165" s="147"/>
      <c r="O165" s="148"/>
      <c r="P165" s="24"/>
      <c r="Q165" s="148"/>
      <c r="R165" s="149"/>
      <c r="S165" s="146"/>
      <c r="T165" s="149"/>
      <c r="U165" s="53"/>
      <c r="V165" s="150"/>
      <c r="W165" s="255"/>
      <c r="X165" s="150"/>
      <c r="Y165" s="22"/>
    </row>
    <row r="166" spans="1:25" ht="15">
      <c r="A166" s="22"/>
      <c r="B166" s="142"/>
      <c r="C166" s="205" t="s">
        <v>179</v>
      </c>
      <c r="D166" s="142"/>
      <c r="E166" s="144"/>
      <c r="F166" s="206"/>
      <c r="G166" s="144"/>
      <c r="H166" s="25"/>
      <c r="I166" s="298"/>
      <c r="J166" s="25"/>
      <c r="K166" s="147"/>
      <c r="L166" s="206" t="s">
        <v>191</v>
      </c>
      <c r="M166" s="206"/>
      <c r="N166" s="147"/>
      <c r="O166" s="148"/>
      <c r="P166" s="179">
        <f>IF(NOT(NOT(IF(ISERROR(I166),ERROR.TYPE(#REF!)=ERROR.TYPE(I166),FALSE))),"Fail",IF(NOT(NOT(ISBLANK(I166))),"Fail",IF(NOT(ISNUMBER(I166)),"Fail",IF(NOT(LEN(I166)-FIND(".",I166&amp;".")&lt;=1),"Fail",IF(NOT(I166&gt;=0),"Fail","Pass")))))</f>
      </c>
      <c r="Q166" s="148"/>
      <c r="R166" s="149"/>
      <c r="S166" s="207">
        <f>IF(NOT(NOT(IF(ISERROR(I166),ERROR.TYPE(#REF!)=ERROR.TYPE(I166),FALSE))),"UNDO NOW (use button or Ctrl+Z)! CANNOT DRAG-AND-DROP CELLS",IF(NOT(NOT(ISBLANK(I166))),"input required",IF(NOT(ISNUMBER(I166)),"enter a number",IF(NOT(LEN(I166)-FIND(".",I166&amp;".")&lt;=1),"only 1 decimal place(s) allowed",IF(NOT(I166&gt;=0),"must be &gt;= 0","")))))</f>
      </c>
      <c r="T166" s="149"/>
      <c r="U166" s="53"/>
      <c r="V166" s="150"/>
      <c r="W166" s="255"/>
      <c r="X166" s="150"/>
      <c r="Y166" s="22"/>
    </row>
    <row r="167" spans="1:25" ht="15">
      <c r="A167" s="22"/>
      <c r="B167" s="142"/>
      <c r="C167" s="205" t="s">
        <v>159</v>
      </c>
      <c r="D167" s="142"/>
      <c r="E167" s="144"/>
      <c r="F167" s="206"/>
      <c r="G167" s="144"/>
      <c r="H167" s="25"/>
      <c r="I167" s="297"/>
      <c r="J167" s="25"/>
      <c r="K167" s="147"/>
      <c r="L167" s="206" t="s">
        <v>191</v>
      </c>
      <c r="M167" s="206"/>
      <c r="N167" s="147"/>
      <c r="O167" s="148"/>
      <c r="P167" s="179">
        <f>IF(NOT(NOT(IF(ISERROR(I167),ERROR.TYPE(#REF!)=ERROR.TYPE(I167),FALSE))),"Fail",IF(NOT(NOT(ISBLANK(I167))),"Fail",IF(NOT(ISNUMBER(I167)),"Fail",IF(NOT(LEN(I167)-FIND(".",I167&amp;".")&lt;=1),"Fail",IF(NOT(I167&gt;=0),"Fail","Pass")))))</f>
      </c>
      <c r="Q167" s="148"/>
      <c r="R167" s="149"/>
      <c r="S167" s="207">
        <f>IF(NOT(NOT(IF(ISERROR(I167),ERROR.TYPE(#REF!)=ERROR.TYPE(I167),FALSE))),"UNDO NOW (use button or Ctrl+Z)! CANNOT DRAG-AND-DROP CELLS",IF(NOT(NOT(ISBLANK(I167))),"input required",IF(NOT(ISNUMBER(I167)),"enter a number",IF(NOT(LEN(I167)-FIND(".",I167&amp;".")&lt;=1),"only 1 decimal place(s) allowed",IF(NOT(I167&gt;=0),"must be &gt;= 0","")))))</f>
      </c>
      <c r="T167" s="149"/>
      <c r="U167" s="53"/>
      <c r="V167" s="150"/>
      <c r="W167" s="255"/>
      <c r="X167" s="150"/>
      <c r="Y167" s="22"/>
    </row>
    <row r="168" spans="1:25" ht="15" thickBot="1">
      <c r="A168" s="22"/>
      <c r="B168" s="142"/>
      <c r="C168" s="205" t="s">
        <v>178</v>
      </c>
      <c r="D168" s="142"/>
      <c r="E168" s="144"/>
      <c r="F168" s="206"/>
      <c r="G168" s="144"/>
      <c r="H168" s="25"/>
      <c r="I168" s="299"/>
      <c r="J168" s="25"/>
      <c r="K168" s="147"/>
      <c r="L168" s="206" t="s">
        <v>191</v>
      </c>
      <c r="M168" s="206"/>
      <c r="N168" s="147"/>
      <c r="O168" s="148"/>
      <c r="P168" s="179">
        <f>IF(NOT(NOT(IF(ISERROR(I168),ERROR.TYPE(#REF!)=ERROR.TYPE(I168),FALSE))),"Fail",IF(NOT(NOT(ISBLANK(I168))),"Fail",IF(NOT(ISNUMBER(I168)),"Fail",IF(NOT(LEN(I168)-FIND(".",I168&amp;".")&lt;=1),"Fail",IF(NOT(I168&gt;=0),"Fail","Pass")))))</f>
      </c>
      <c r="Q168" s="148"/>
      <c r="R168" s="149"/>
      <c r="S168" s="207">
        <f>IF(NOT(NOT(IF(ISERROR(I168),ERROR.TYPE(#REF!)=ERROR.TYPE(I168),FALSE))),"UNDO NOW (use button or Ctrl+Z)! CANNOT DRAG-AND-DROP CELLS",IF(NOT(NOT(ISBLANK(I168))),"input required",IF(NOT(ISNUMBER(I168)),"enter a number",IF(NOT(LEN(I168)-FIND(".",I168&amp;".")&lt;=1),"only 1 decimal place(s) allowed",IF(NOT(I168&gt;=0),"must be &gt;= 0","")))))</f>
      </c>
      <c r="T168" s="149"/>
      <c r="U168" s="53"/>
      <c r="V168" s="150"/>
      <c r="W168" s="255"/>
      <c r="X168" s="150"/>
      <c r="Y168" s="22"/>
    </row>
    <row r="169" spans="1:25" ht="15" hidden="1">
      <c r="A169" s="22"/>
      <c r="B169" s="142"/>
      <c r="C169" s="204"/>
      <c r="D169" s="142"/>
      <c r="E169" s="144"/>
      <c r="F169" s="145"/>
      <c r="G169" s="144"/>
      <c r="H169" s="25"/>
      <c r="I169" s="146"/>
      <c r="J169" s="25"/>
      <c r="K169" s="147"/>
      <c r="L169" s="24"/>
      <c r="M169" s="145"/>
      <c r="N169" s="147"/>
      <c r="O169" s="148"/>
      <c r="P169" s="24"/>
      <c r="Q169" s="148"/>
      <c r="R169" s="149"/>
      <c r="S169" s="146"/>
      <c r="T169" s="149"/>
      <c r="U169" s="53"/>
      <c r="V169" s="150"/>
      <c r="W169" s="255"/>
      <c r="X169" s="150"/>
      <c r="Y169" s="22"/>
    </row>
    <row r="170" spans="1:25" ht="15" hidden="1" thickBot="1">
      <c r="A170" s="22"/>
      <c r="B170" s="142"/>
      <c r="C170" s="226"/>
      <c r="D170" s="142"/>
      <c r="E170" s="144"/>
      <c r="F170" s="145"/>
      <c r="G170" s="144"/>
      <c r="H170" s="25"/>
      <c r="I170" s="177"/>
      <c r="J170" s="25"/>
      <c r="K170" s="147"/>
      <c r="L170" s="24"/>
      <c r="M170" s="145"/>
      <c r="N170" s="147"/>
      <c r="O170" s="148"/>
      <c r="P170" s="24"/>
      <c r="Q170" s="148"/>
      <c r="R170" s="149"/>
      <c r="S170" s="146"/>
      <c r="T170" s="149"/>
      <c r="U170" s="53"/>
      <c r="V170" s="150"/>
      <c r="W170" s="255"/>
      <c r="X170" s="150"/>
      <c r="Y170" s="22"/>
    </row>
    <row r="171" spans="1:25" ht="15" thickBot="1">
      <c r="A171" s="22"/>
      <c r="B171" s="142"/>
      <c r="C171" s="227" t="s">
        <v>177</v>
      </c>
      <c r="D171" s="142"/>
      <c r="E171" s="144"/>
      <c r="F171" s="206"/>
      <c r="G171" s="144"/>
      <c r="H171" s="25"/>
      <c r="I171" s="278">
        <f>IF(AND(OR(ISBLANK(I166),I166=""),OR(ISBLANK(I167),I167=""),OR(ISBLANK(I168),I168="")),"",SUM(I166,I167,I168))</f>
      </c>
      <c r="J171" s="25"/>
      <c r="K171" s="147"/>
      <c r="L171" s="206" t="s">
        <v>191</v>
      </c>
      <c r="M171" s="206"/>
      <c r="N171" s="147"/>
      <c r="O171" s="148"/>
      <c r="P171" s="179">
        <f>IF(TRUE,"PassBecauseNoConstraints","ERROR")</f>
      </c>
      <c r="Q171" s="148"/>
      <c r="R171" s="149"/>
      <c r="S171" s="207">
        <f>IF(TRUE,"","ERROR")</f>
      </c>
      <c r="T171" s="149"/>
      <c r="U171" s="53"/>
      <c r="V171" s="150"/>
      <c r="W171" s="255"/>
      <c r="X171" s="150"/>
      <c r="Y171" s="22"/>
    </row>
    <row r="172" spans="1:25" ht="15" hidden="1">
      <c r="A172" s="22"/>
      <c r="B172" s="142"/>
      <c r="C172" s="226"/>
      <c r="D172" s="142"/>
      <c r="E172" s="144"/>
      <c r="F172" s="145"/>
      <c r="G172" s="144"/>
      <c r="H172" s="25"/>
      <c r="I172" s="146"/>
      <c r="J172" s="25"/>
      <c r="K172" s="147"/>
      <c r="L172" s="24"/>
      <c r="M172" s="145"/>
      <c r="N172" s="147"/>
      <c r="O172" s="148"/>
      <c r="P172" s="24"/>
      <c r="Q172" s="148"/>
      <c r="R172" s="149"/>
      <c r="S172" s="146"/>
      <c r="T172" s="149"/>
      <c r="U172" s="53"/>
      <c r="V172" s="150"/>
      <c r="W172" s="255"/>
      <c r="X172" s="150"/>
      <c r="Y172" s="22"/>
    </row>
    <row r="173" spans="1:25" ht="15" customHeight="1">
      <c r="A173" s="22"/>
      <c r="B173" s="142"/>
      <c r="C173" s="201"/>
      <c r="D173" s="142"/>
      <c r="E173" s="144"/>
      <c r="F173" s="145"/>
      <c r="G173" s="144"/>
      <c r="H173" s="25"/>
      <c r="I173" s="146"/>
      <c r="J173" s="25"/>
      <c r="K173" s="147"/>
      <c r="L173" s="24"/>
      <c r="M173" s="145"/>
      <c r="N173" s="147"/>
      <c r="O173" s="148"/>
      <c r="P173" s="24"/>
      <c r="Q173" s="148"/>
      <c r="R173" s="149"/>
      <c r="S173" s="146"/>
      <c r="T173" s="149"/>
      <c r="U173" s="53"/>
      <c r="V173" s="150"/>
      <c r="W173" s="255"/>
      <c r="X173" s="150"/>
      <c r="Y173" s="22"/>
    </row>
    <row r="174" spans="1:25" ht="15" hidden="1">
      <c r="A174" s="22"/>
      <c r="B174" s="142"/>
      <c r="C174" s="201"/>
      <c r="D174" s="142"/>
      <c r="E174" s="144"/>
      <c r="F174" s="145"/>
      <c r="G174" s="144"/>
      <c r="H174" s="25"/>
      <c r="I174" s="146"/>
      <c r="J174" s="25"/>
      <c r="K174" s="147"/>
      <c r="L174" s="24"/>
      <c r="M174" s="145"/>
      <c r="N174" s="147"/>
      <c r="O174" s="148"/>
      <c r="P174" s="24"/>
      <c r="Q174" s="148"/>
      <c r="R174" s="149"/>
      <c r="S174" s="146"/>
      <c r="T174" s="149"/>
      <c r="U174" s="53"/>
      <c r="V174" s="150"/>
      <c r="W174" s="255"/>
      <c r="X174" s="150"/>
      <c r="Y174" s="22"/>
    </row>
    <row r="175" spans="1:25" ht="15" hidden="1">
      <c r="A175" s="22"/>
      <c r="B175" s="142"/>
      <c r="C175" s="202"/>
      <c r="D175" s="142"/>
      <c r="E175" s="144"/>
      <c r="F175" s="145"/>
      <c r="G175" s="144"/>
      <c r="H175" s="25"/>
      <c r="I175" s="146"/>
      <c r="J175" s="25"/>
      <c r="K175" s="147"/>
      <c r="L175" s="24"/>
      <c r="M175" s="145"/>
      <c r="N175" s="147"/>
      <c r="O175" s="148"/>
      <c r="P175" s="24"/>
      <c r="Q175" s="148"/>
      <c r="R175" s="149"/>
      <c r="S175" s="146"/>
      <c r="T175" s="149"/>
      <c r="U175" s="53"/>
      <c r="V175" s="150"/>
      <c r="W175" s="255"/>
      <c r="X175" s="150"/>
      <c r="Y175" s="22"/>
    </row>
    <row r="176" spans="1:25" ht="18.75">
      <c r="A176" s="22"/>
      <c r="B176" s="142"/>
      <c r="C176" s="203" t="s">
        <v>176</v>
      </c>
      <c r="D176" s="142"/>
      <c r="E176" s="144"/>
      <c r="F176" s="145"/>
      <c r="G176" s="144"/>
      <c r="H176" s="25"/>
      <c r="I176" s="146"/>
      <c r="J176" s="25"/>
      <c r="K176" s="147"/>
      <c r="L176" s="24"/>
      <c r="M176" s="145"/>
      <c r="N176" s="147"/>
      <c r="O176" s="148"/>
      <c r="P176" s="24"/>
      <c r="Q176" s="148"/>
      <c r="R176" s="149"/>
      <c r="S176" s="146"/>
      <c r="T176" s="149"/>
      <c r="U176" s="53"/>
      <c r="V176" s="150"/>
      <c r="W176" s="255"/>
      <c r="X176" s="150"/>
      <c r="Y176" s="22"/>
    </row>
    <row r="177" spans="1:25" ht="7.5" customHeight="1">
      <c r="A177" s="22"/>
      <c r="B177" s="142"/>
      <c r="C177" s="202"/>
      <c r="D177" s="142"/>
      <c r="E177" s="144"/>
      <c r="F177" s="145"/>
      <c r="G177" s="144"/>
      <c r="H177" s="25"/>
      <c r="I177" s="146"/>
      <c r="J177" s="25"/>
      <c r="K177" s="147"/>
      <c r="L177" s="24"/>
      <c r="M177" s="145"/>
      <c r="N177" s="147"/>
      <c r="O177" s="148"/>
      <c r="P177" s="24"/>
      <c r="Q177" s="148"/>
      <c r="R177" s="149"/>
      <c r="S177" s="146"/>
      <c r="T177" s="149"/>
      <c r="U177" s="53"/>
      <c r="V177" s="150"/>
      <c r="W177" s="255"/>
      <c r="X177" s="150"/>
      <c r="Y177" s="22"/>
    </row>
    <row r="178" spans="1:25" ht="15" hidden="1" thickBot="1">
      <c r="A178" s="22"/>
      <c r="B178" s="142"/>
      <c r="C178" s="204"/>
      <c r="D178" s="142"/>
      <c r="E178" s="144"/>
      <c r="F178" s="145"/>
      <c r="G178" s="144"/>
      <c r="H178" s="25"/>
      <c r="I178" s="177"/>
      <c r="J178" s="25"/>
      <c r="K178" s="147"/>
      <c r="L178" s="24"/>
      <c r="M178" s="145"/>
      <c r="N178" s="147"/>
      <c r="O178" s="148"/>
      <c r="P178" s="24"/>
      <c r="Q178" s="148"/>
      <c r="R178" s="149"/>
      <c r="S178" s="146"/>
      <c r="T178" s="149"/>
      <c r="U178" s="53"/>
      <c r="V178" s="150"/>
      <c r="W178" s="255"/>
      <c r="X178" s="150"/>
      <c r="Y178" s="22"/>
    </row>
    <row r="179" spans="1:25" ht="15">
      <c r="A179" s="22"/>
      <c r="B179" s="142"/>
      <c r="C179" s="205" t="s">
        <v>175</v>
      </c>
      <c r="D179" s="142"/>
      <c r="E179" s="144"/>
      <c r="F179" s="206"/>
      <c r="G179" s="144"/>
      <c r="H179" s="25"/>
      <c r="I179" s="298"/>
      <c r="J179" s="25"/>
      <c r="K179" s="147"/>
      <c r="L179" s="206" t="s">
        <v>191</v>
      </c>
      <c r="M179" s="206"/>
      <c r="N179" s="147"/>
      <c r="O179" s="148"/>
      <c r="P179" s="179">
        <f>IF(NOT(NOT(IF(ISERROR(I179),ERROR.TYPE(#REF!)=ERROR.TYPE(I179),FALSE))),"Fail",IF(NOT(NOT(ISBLANK(I179))),"Fail",IF(NOT(ISNUMBER(I179)),"Fail",IF(NOT(LEN(I179)-FIND(".",I179&amp;".")&lt;=1),"Fail",IF(NOT(I179&gt;=0),"Fail","Pass")))))</f>
      </c>
      <c r="Q179" s="148"/>
      <c r="R179" s="149"/>
      <c r="S179" s="207">
        <f>IF(NOT(NOT(IF(ISERROR(I179),ERROR.TYPE(#REF!)=ERROR.TYPE(I179),FALSE))),"UNDO NOW (use button or Ctrl+Z)! CANNOT DRAG-AND-DROP CELLS",IF(NOT(NOT(ISBLANK(I179))),"input required",IF(NOT(ISNUMBER(I179)),"enter a number",IF(NOT(LEN(I179)-FIND(".",I179&amp;".")&lt;=1),"only 1 decimal place(s) allowed",IF(NOT(I179&gt;=0),"must be &gt;= 0","")))))</f>
      </c>
      <c r="T179" s="149"/>
      <c r="U179" s="53"/>
      <c r="V179" s="150"/>
      <c r="W179" s="255"/>
      <c r="X179" s="150"/>
      <c r="Y179" s="22"/>
    </row>
    <row r="180" spans="1:25" ht="15">
      <c r="A180" s="22"/>
      <c r="B180" s="142"/>
      <c r="C180" s="205" t="s">
        <v>174</v>
      </c>
      <c r="D180" s="142"/>
      <c r="E180" s="144"/>
      <c r="F180" s="206"/>
      <c r="G180" s="144"/>
      <c r="H180" s="25"/>
      <c r="I180" s="297"/>
      <c r="J180" s="25"/>
      <c r="K180" s="147"/>
      <c r="L180" s="206" t="s">
        <v>191</v>
      </c>
      <c r="M180" s="206"/>
      <c r="N180" s="147"/>
      <c r="O180" s="148"/>
      <c r="P180" s="179">
        <f>IF(NOT(NOT(IF(ISERROR(I180),ERROR.TYPE(#REF!)=ERROR.TYPE(I180),FALSE))),"Fail",IF(NOT(NOT(ISBLANK(I180))),"Fail",IF(NOT(ISNUMBER(I180)),"Fail",IF(NOT(LEN(I180)-FIND(".",I180&amp;".")&lt;=1),"Fail",IF(NOT(I180&gt;=0),"Fail","Pass")))))</f>
      </c>
      <c r="Q180" s="148"/>
      <c r="R180" s="149"/>
      <c r="S180" s="207">
        <f>IF(NOT(NOT(IF(ISERROR(I180),ERROR.TYPE(#REF!)=ERROR.TYPE(I180),FALSE))),"UNDO NOW (use button or Ctrl+Z)! CANNOT DRAG-AND-DROP CELLS",IF(NOT(NOT(ISBLANK(I180))),"input required",IF(NOT(ISNUMBER(I180)),"enter a number",IF(NOT(LEN(I180)-FIND(".",I180&amp;".")&lt;=1),"only 1 decimal place(s) allowed",IF(NOT(I180&gt;=0),"must be &gt;= 0","")))))</f>
      </c>
      <c r="T180" s="149"/>
      <c r="U180" s="53"/>
      <c r="V180" s="150"/>
      <c r="W180" s="255"/>
      <c r="X180" s="150"/>
      <c r="Y180" s="22"/>
    </row>
    <row r="181" spans="1:25" ht="15" thickBot="1">
      <c r="A181" s="22"/>
      <c r="B181" s="142"/>
      <c r="C181" s="205" t="s">
        <v>173</v>
      </c>
      <c r="D181" s="142"/>
      <c r="E181" s="144"/>
      <c r="F181" s="206"/>
      <c r="G181" s="144"/>
      <c r="H181" s="25"/>
      <c r="I181" s="299"/>
      <c r="J181" s="25"/>
      <c r="K181" s="147"/>
      <c r="L181" s="206" t="s">
        <v>191</v>
      </c>
      <c r="M181" s="206"/>
      <c r="N181" s="147"/>
      <c r="O181" s="148"/>
      <c r="P181" s="179">
        <f>IF(NOT(NOT(IF(ISERROR(I181),ERROR.TYPE(#REF!)=ERROR.TYPE(I181),FALSE))),"Fail",IF(NOT(NOT(ISBLANK(I181))),"Fail",IF(NOT(ISNUMBER(I181)),"Fail",IF(NOT(LEN(I181)-FIND(".",I181&amp;".")&lt;=1),"Fail",IF(NOT(I181&gt;=0),"Fail","Pass")))))</f>
      </c>
      <c r="Q181" s="148"/>
      <c r="R181" s="149"/>
      <c r="S181" s="207">
        <f>IF(NOT(NOT(IF(ISERROR(I181),ERROR.TYPE(#REF!)=ERROR.TYPE(I181),FALSE))),"UNDO NOW (use button or Ctrl+Z)! CANNOT DRAG-AND-DROP CELLS",IF(NOT(NOT(ISBLANK(I181))),"input required",IF(NOT(ISNUMBER(I181)),"enter a number",IF(NOT(LEN(I181)-FIND(".",I181&amp;".")&lt;=1),"only 1 decimal place(s) allowed",IF(NOT(I181&gt;=0),"must be &gt;= 0","")))))</f>
      </c>
      <c r="T181" s="149"/>
      <c r="U181" s="53"/>
      <c r="V181" s="150"/>
      <c r="W181" s="255"/>
      <c r="X181" s="150"/>
      <c r="Y181" s="22"/>
    </row>
    <row r="182" spans="1:25" ht="15" hidden="1">
      <c r="A182" s="22"/>
      <c r="B182" s="142"/>
      <c r="C182" s="204"/>
      <c r="D182" s="142"/>
      <c r="E182" s="144"/>
      <c r="F182" s="145"/>
      <c r="G182" s="144"/>
      <c r="H182" s="25"/>
      <c r="I182" s="146"/>
      <c r="J182" s="25"/>
      <c r="K182" s="147"/>
      <c r="L182" s="24"/>
      <c r="M182" s="145"/>
      <c r="N182" s="147"/>
      <c r="O182" s="148"/>
      <c r="P182" s="24"/>
      <c r="Q182" s="148"/>
      <c r="R182" s="149"/>
      <c r="S182" s="146"/>
      <c r="T182" s="149"/>
      <c r="U182" s="53"/>
      <c r="V182" s="150"/>
      <c r="W182" s="255"/>
      <c r="X182" s="150"/>
      <c r="Y182" s="22"/>
    </row>
    <row r="183" spans="1:25" ht="15" hidden="1" thickBot="1">
      <c r="A183" s="22"/>
      <c r="B183" s="142"/>
      <c r="C183" s="226"/>
      <c r="D183" s="142"/>
      <c r="E183" s="144"/>
      <c r="F183" s="145"/>
      <c r="G183" s="144"/>
      <c r="H183" s="25"/>
      <c r="I183" s="177"/>
      <c r="J183" s="25"/>
      <c r="K183" s="147"/>
      <c r="L183" s="24"/>
      <c r="M183" s="145"/>
      <c r="N183" s="147"/>
      <c r="O183" s="148"/>
      <c r="P183" s="24"/>
      <c r="Q183" s="148"/>
      <c r="R183" s="149"/>
      <c r="S183" s="146"/>
      <c r="T183" s="149"/>
      <c r="U183" s="53"/>
      <c r="V183" s="150"/>
      <c r="W183" s="255"/>
      <c r="X183" s="150"/>
      <c r="Y183" s="22"/>
    </row>
    <row r="184" spans="1:25" ht="15" thickBot="1">
      <c r="A184" s="22"/>
      <c r="B184" s="142"/>
      <c r="C184" s="227" t="s">
        <v>172</v>
      </c>
      <c r="D184" s="142"/>
      <c r="E184" s="144"/>
      <c r="F184" s="206"/>
      <c r="G184" s="144"/>
      <c r="H184" s="25"/>
      <c r="I184" s="278">
        <f>IF(AND(OR(ISBLANK(I180),I180=""),OR(ISBLANK(I179),I179=""),OR(ISBLANK(I181),I181="")),"",SUM(I180,I179,I181))</f>
      </c>
      <c r="J184" s="25"/>
      <c r="K184" s="147"/>
      <c r="L184" s="206" t="s">
        <v>191</v>
      </c>
      <c r="M184" s="206"/>
      <c r="N184" s="147"/>
      <c r="O184" s="148"/>
      <c r="P184" s="179">
        <f>IF(TRUE,"PassBecauseNoConstraints","ERROR")</f>
      </c>
      <c r="Q184" s="148"/>
      <c r="R184" s="149"/>
      <c r="S184" s="207">
        <f>IF(TRUE,"","ERROR")</f>
      </c>
      <c r="T184" s="149"/>
      <c r="U184" s="53"/>
      <c r="V184" s="150"/>
      <c r="W184" s="255"/>
      <c r="X184" s="150"/>
      <c r="Y184" s="22"/>
    </row>
    <row r="185" spans="1:25" ht="15" hidden="1">
      <c r="A185" s="22"/>
      <c r="B185" s="142"/>
      <c r="C185" s="226"/>
      <c r="D185" s="142"/>
      <c r="E185" s="144"/>
      <c r="F185" s="145"/>
      <c r="G185" s="144"/>
      <c r="H185" s="25"/>
      <c r="I185" s="146"/>
      <c r="J185" s="25"/>
      <c r="K185" s="147"/>
      <c r="L185" s="24"/>
      <c r="M185" s="145"/>
      <c r="N185" s="147"/>
      <c r="O185" s="148"/>
      <c r="P185" s="24"/>
      <c r="Q185" s="148"/>
      <c r="R185" s="149"/>
      <c r="S185" s="146"/>
      <c r="T185" s="149"/>
      <c r="U185" s="53"/>
      <c r="V185" s="150"/>
      <c r="W185" s="255"/>
      <c r="X185" s="150"/>
      <c r="Y185" s="22"/>
    </row>
    <row r="186" spans="1:25" ht="15" customHeight="1">
      <c r="A186" s="22"/>
      <c r="B186" s="142"/>
      <c r="C186" s="201"/>
      <c r="D186" s="142"/>
      <c r="E186" s="144"/>
      <c r="F186" s="145"/>
      <c r="G186" s="144"/>
      <c r="H186" s="25"/>
      <c r="I186" s="146"/>
      <c r="J186" s="25"/>
      <c r="K186" s="147"/>
      <c r="L186" s="24"/>
      <c r="M186" s="145"/>
      <c r="N186" s="147"/>
      <c r="O186" s="148"/>
      <c r="P186" s="24"/>
      <c r="Q186" s="148"/>
      <c r="R186" s="149"/>
      <c r="S186" s="146"/>
      <c r="T186" s="149"/>
      <c r="U186" s="53"/>
      <c r="V186" s="150"/>
      <c r="W186" s="255"/>
      <c r="X186" s="150"/>
      <c r="Y186" s="22"/>
    </row>
    <row r="187" spans="1:25" ht="15" hidden="1">
      <c r="A187" s="22"/>
      <c r="B187" s="142"/>
      <c r="C187" s="201"/>
      <c r="D187" s="142"/>
      <c r="E187" s="144"/>
      <c r="F187" s="145"/>
      <c r="G187" s="144"/>
      <c r="H187" s="25"/>
      <c r="I187" s="146"/>
      <c r="J187" s="25"/>
      <c r="K187" s="147"/>
      <c r="L187" s="24"/>
      <c r="M187" s="145"/>
      <c r="N187" s="147"/>
      <c r="O187" s="148"/>
      <c r="P187" s="24"/>
      <c r="Q187" s="148"/>
      <c r="R187" s="149"/>
      <c r="S187" s="146"/>
      <c r="T187" s="149"/>
      <c r="U187" s="53"/>
      <c r="V187" s="150"/>
      <c r="W187" s="255"/>
      <c r="X187" s="150"/>
      <c r="Y187" s="22"/>
    </row>
    <row r="188" spans="1:25" ht="15" hidden="1" thickBot="1">
      <c r="A188" s="22"/>
      <c r="B188" s="142"/>
      <c r="C188" s="226"/>
      <c r="D188" s="142"/>
      <c r="E188" s="144"/>
      <c r="F188" s="145"/>
      <c r="G188" s="144"/>
      <c r="H188" s="25"/>
      <c r="I188" s="177"/>
      <c r="J188" s="25"/>
      <c r="K188" s="147"/>
      <c r="L188" s="24"/>
      <c r="M188" s="145"/>
      <c r="N188" s="147"/>
      <c r="O188" s="148"/>
      <c r="P188" s="24"/>
      <c r="Q188" s="148"/>
      <c r="R188" s="149"/>
      <c r="S188" s="146"/>
      <c r="T188" s="149"/>
      <c r="U188" s="53"/>
      <c r="V188" s="150"/>
      <c r="W188" s="255"/>
      <c r="X188" s="150"/>
      <c r="Y188" s="22"/>
    </row>
    <row r="189" spans="1:25" ht="15" thickBot="1">
      <c r="A189" s="22"/>
      <c r="B189" s="142"/>
      <c r="C189" s="227" t="s">
        <v>171</v>
      </c>
      <c r="D189" s="142"/>
      <c r="E189" s="144"/>
      <c r="F189" s="206"/>
      <c r="G189" s="144"/>
      <c r="H189" s="25"/>
      <c r="I189" s="278">
        <f>IF(AND(OR(ISBLANK(I132),I132=""),OR(ISBLANK(I166),I166=""),OR(ISBLANK(I140),I140=""),OR(ISBLANK(I141),I141=""),OR(ISBLANK(I142),I142=""),OR(ISBLANK(I153),I153=""),OR(ISBLANK(I154),I154=""),OR(ISBLANK(I180),I180=""),OR(ISBLANK(I167),I167=""),OR(ISBLANK(I155),I155=""),OR(ISBLANK(I168),I168=""),OR(ISBLANK(I179),I179=""),OR(ISBLANK(I181),I181="")),"",SUM(I132,I166,I140,I141,I142,I153,I154,I180,I167,I155,I168,I179,I181))</f>
      </c>
      <c r="J189" s="25"/>
      <c r="K189" s="147"/>
      <c r="L189" s="206" t="s">
        <v>191</v>
      </c>
      <c r="M189" s="206"/>
      <c r="N189" s="147"/>
      <c r="O189" s="148"/>
      <c r="P189" s="179">
        <f>IF(NOT(NOT(I189="")),"Fail",IF(NOT(I189&gt;5),"Fail","Pass"))</f>
      </c>
      <c r="Q189" s="148"/>
      <c r="R189" s="149"/>
      <c r="S189" s="207">
        <f>IF(NOT(NOT(I189="")),"must be &gt; 5",IF(NOT(I189&gt;5),"must be &gt; 5",""))</f>
      </c>
      <c r="T189" s="149"/>
      <c r="U189" s="53"/>
      <c r="V189" s="150"/>
      <c r="W189" s="255"/>
      <c r="X189" s="150"/>
      <c r="Y189" s="22"/>
    </row>
    <row r="190" spans="1:25" ht="15" hidden="1">
      <c r="A190" s="22"/>
      <c r="B190" s="142"/>
      <c r="C190" s="226"/>
      <c r="D190" s="142"/>
      <c r="E190" s="144"/>
      <c r="F190" s="145"/>
      <c r="G190" s="144"/>
      <c r="H190" s="25"/>
      <c r="I190" s="146"/>
      <c r="J190" s="25"/>
      <c r="K190" s="147"/>
      <c r="L190" s="24"/>
      <c r="M190" s="145"/>
      <c r="N190" s="147"/>
      <c r="O190" s="148"/>
      <c r="P190" s="24"/>
      <c r="Q190" s="148"/>
      <c r="R190" s="149"/>
      <c r="S190" s="146"/>
      <c r="T190" s="149"/>
      <c r="U190" s="53"/>
      <c r="V190" s="150"/>
      <c r="W190" s="24"/>
      <c r="X190" s="150"/>
      <c r="Y190" s="22"/>
    </row>
    <row r="191" spans="1:25" ht="15" customHeight="1">
      <c r="A191" s="22"/>
      <c r="B191" s="142"/>
      <c r="C191" s="201"/>
      <c r="D191" s="142"/>
      <c r="E191" s="144"/>
      <c r="F191" s="145"/>
      <c r="G191" s="144"/>
      <c r="H191" s="25"/>
      <c r="I191" s="146"/>
      <c r="J191" s="25"/>
      <c r="K191" s="147"/>
      <c r="L191" s="24"/>
      <c r="M191" s="145"/>
      <c r="N191" s="147"/>
      <c r="O191" s="148"/>
      <c r="P191" s="24"/>
      <c r="Q191" s="148"/>
      <c r="R191" s="149"/>
      <c r="S191" s="146"/>
      <c r="T191" s="149"/>
      <c r="U191" s="53"/>
      <c r="V191" s="150"/>
      <c r="W191" s="24"/>
      <c r="X191" s="150"/>
      <c r="Y191" s="22"/>
    </row>
    <row r="192" spans="1:25" ht="15" hidden="1">
      <c r="A192" s="22"/>
      <c r="B192" s="142"/>
      <c r="C192" s="200"/>
      <c r="D192" s="142"/>
      <c r="E192" s="144"/>
      <c r="F192" s="145"/>
      <c r="G192" s="144"/>
      <c r="H192" s="25"/>
      <c r="I192" s="146"/>
      <c r="J192" s="25"/>
      <c r="K192" s="147"/>
      <c r="L192" s="24"/>
      <c r="M192" s="145"/>
      <c r="N192" s="147"/>
      <c r="O192" s="148"/>
      <c r="P192" s="24"/>
      <c r="Q192" s="148"/>
      <c r="R192" s="149"/>
      <c r="S192" s="146"/>
      <c r="T192" s="149"/>
      <c r="U192" s="53"/>
      <c r="V192" s="150"/>
      <c r="W192" s="24"/>
      <c r="X192" s="150"/>
      <c r="Y192" s="22"/>
    </row>
    <row r="193" spans="1:25" ht="15" customHeight="1">
      <c r="A193" s="22"/>
      <c r="B193" s="142"/>
      <c r="C193" s="192"/>
      <c r="D193" s="142"/>
      <c r="E193" s="144"/>
      <c r="F193" s="145"/>
      <c r="G193" s="144"/>
      <c r="H193" s="25"/>
      <c r="I193" s="146"/>
      <c r="J193" s="25"/>
      <c r="K193" s="147"/>
      <c r="L193" s="24"/>
      <c r="M193" s="145"/>
      <c r="N193" s="147"/>
      <c r="O193" s="148"/>
      <c r="P193" s="24"/>
      <c r="Q193" s="148"/>
      <c r="R193" s="149"/>
      <c r="S193" s="146"/>
      <c r="T193" s="149"/>
      <c r="U193" s="53"/>
      <c r="V193" s="150"/>
      <c r="W193" s="24"/>
      <c r="X193" s="150"/>
      <c r="Y193" s="22"/>
    </row>
    <row r="194" spans="1:25" ht="15" hidden="1">
      <c r="A194" s="22"/>
      <c r="B194" s="142"/>
      <c r="C194" s="192"/>
      <c r="D194" s="142"/>
      <c r="E194" s="144"/>
      <c r="F194" s="145"/>
      <c r="G194" s="144"/>
      <c r="H194" s="25"/>
      <c r="I194" s="146"/>
      <c r="J194" s="25"/>
      <c r="K194" s="147"/>
      <c r="L194" s="24"/>
      <c r="M194" s="145"/>
      <c r="N194" s="147"/>
      <c r="O194" s="148"/>
      <c r="P194" s="24"/>
      <c r="Q194" s="148"/>
      <c r="R194" s="149"/>
      <c r="S194" s="146"/>
      <c r="T194" s="149"/>
      <c r="U194" s="53"/>
      <c r="V194" s="150"/>
      <c r="W194" s="24"/>
      <c r="X194" s="150"/>
      <c r="Y194" s="22"/>
    </row>
    <row r="195" spans="1:25" ht="15" hidden="1">
      <c r="A195" s="22"/>
      <c r="B195" s="142"/>
      <c r="C195" s="193"/>
      <c r="D195" s="142"/>
      <c r="E195" s="144"/>
      <c r="F195" s="145"/>
      <c r="G195" s="144"/>
      <c r="H195" s="25"/>
      <c r="I195" s="146"/>
      <c r="J195" s="25"/>
      <c r="K195" s="147"/>
      <c r="L195" s="24"/>
      <c r="M195" s="145"/>
      <c r="N195" s="147"/>
      <c r="O195" s="148"/>
      <c r="P195" s="24"/>
      <c r="Q195" s="148"/>
      <c r="R195" s="149"/>
      <c r="S195" s="146"/>
      <c r="T195" s="149"/>
      <c r="U195" s="53"/>
      <c r="V195" s="150"/>
      <c r="W195" s="24"/>
      <c r="X195" s="150"/>
      <c r="Y195" s="22"/>
    </row>
    <row r="196" spans="1:25" ht="21">
      <c r="A196" s="22"/>
      <c r="B196" s="142"/>
      <c r="C196" s="166" t="s">
        <v>23</v>
      </c>
      <c r="D196" s="142"/>
      <c r="E196" s="144"/>
      <c r="F196" s="145"/>
      <c r="G196" s="144"/>
      <c r="H196" s="25"/>
      <c r="I196" s="146"/>
      <c r="J196" s="25"/>
      <c r="K196" s="147"/>
      <c r="L196" s="24"/>
      <c r="M196" s="145"/>
      <c r="N196" s="147"/>
      <c r="O196" s="148"/>
      <c r="P196" s="24"/>
      <c r="Q196" s="148"/>
      <c r="R196" s="149"/>
      <c r="S196" s="146"/>
      <c r="T196" s="149"/>
      <c r="U196" s="53"/>
      <c r="V196" s="150"/>
      <c r="W196" s="24"/>
      <c r="X196" s="150"/>
      <c r="Y196" s="22"/>
    </row>
    <row r="197" spans="1:25" ht="7.5" customHeight="1">
      <c r="A197" s="22"/>
      <c r="B197" s="142"/>
      <c r="C197" s="193"/>
      <c r="D197" s="142"/>
      <c r="E197" s="144"/>
      <c r="F197" s="145"/>
      <c r="G197" s="144"/>
      <c r="H197" s="25"/>
      <c r="I197" s="146"/>
      <c r="J197" s="25"/>
      <c r="K197" s="147"/>
      <c r="L197" s="24"/>
      <c r="M197" s="145"/>
      <c r="N197" s="147"/>
      <c r="O197" s="148"/>
      <c r="P197" s="24"/>
      <c r="Q197" s="148"/>
      <c r="R197" s="149"/>
      <c r="S197" s="146"/>
      <c r="T197" s="149"/>
      <c r="U197" s="53"/>
      <c r="V197" s="150"/>
      <c r="W197" s="24"/>
      <c r="X197" s="150"/>
      <c r="Y197" s="22"/>
    </row>
    <row r="198" spans="1:25" ht="15" hidden="1">
      <c r="A198" s="22"/>
      <c r="B198" s="142"/>
      <c r="C198" s="194"/>
      <c r="D198" s="142"/>
      <c r="E198" s="144"/>
      <c r="F198" s="145"/>
      <c r="G198" s="144"/>
      <c r="H198" s="25"/>
      <c r="I198" s="146"/>
      <c r="J198" s="25"/>
      <c r="K198" s="147"/>
      <c r="L198" s="24"/>
      <c r="M198" s="145"/>
      <c r="N198" s="147"/>
      <c r="O198" s="148"/>
      <c r="P198" s="24"/>
      <c r="Q198" s="148"/>
      <c r="R198" s="149"/>
      <c r="S198" s="146"/>
      <c r="T198" s="149"/>
      <c r="U198" s="53"/>
      <c r="V198" s="150"/>
      <c r="W198" s="24"/>
      <c r="X198" s="150"/>
      <c r="Y198" s="22"/>
    </row>
    <row r="199" spans="1:25" ht="15" customHeight="1">
      <c r="A199" s="22"/>
      <c r="B199" s="142"/>
      <c r="C199" s="245" t="s">
        <v>20</v>
      </c>
      <c r="D199" s="246"/>
      <c r="E199" s="246"/>
      <c r="F199" s="247"/>
      <c r="G199" s="246"/>
      <c r="H199" s="246"/>
      <c r="I199" s="248"/>
      <c r="J199" s="246"/>
      <c r="K199" s="246"/>
      <c r="L199" s="249"/>
      <c r="M199" s="247"/>
      <c r="N199" s="246"/>
      <c r="O199" s="246"/>
      <c r="P199" s="249"/>
      <c r="Q199" s="246"/>
      <c r="R199" s="246"/>
      <c r="S199" s="248"/>
      <c r="T199" s="149"/>
      <c r="U199" s="53"/>
      <c r="V199" s="150"/>
      <c r="W199" s="24"/>
      <c r="X199" s="150"/>
      <c r="Y199" s="22"/>
    </row>
    <row r="200" spans="1:25" ht="15" customHeight="1">
      <c r="A200" s="22"/>
      <c r="B200" s="142"/>
      <c r="C200" s="250" t="s">
        <v>170</v>
      </c>
      <c r="D200" s="251"/>
      <c r="E200" s="251"/>
      <c r="F200" s="252"/>
      <c r="G200" s="251"/>
      <c r="H200" s="251"/>
      <c r="I200" s="253"/>
      <c r="J200" s="251"/>
      <c r="K200" s="251"/>
      <c r="L200" s="254"/>
      <c r="M200" s="252"/>
      <c r="N200" s="251"/>
      <c r="O200" s="251"/>
      <c r="P200" s="254"/>
      <c r="Q200" s="251"/>
      <c r="R200" s="251"/>
      <c r="S200" s="253"/>
      <c r="T200" s="149"/>
      <c r="U200" s="53"/>
      <c r="V200" s="150"/>
      <c r="W200" s="24"/>
      <c r="X200" s="150"/>
      <c r="Y200" s="22"/>
    </row>
    <row r="201" spans="1:25" ht="15" customHeight="1">
      <c r="A201" s="22"/>
      <c r="B201" s="142"/>
      <c r="C201" s="194"/>
      <c r="D201" s="142"/>
      <c r="E201" s="144"/>
      <c r="F201" s="145"/>
      <c r="G201" s="144"/>
      <c r="H201" s="25"/>
      <c r="I201" s="146"/>
      <c r="J201" s="25"/>
      <c r="K201" s="147"/>
      <c r="L201" s="24"/>
      <c r="M201" s="145"/>
      <c r="N201" s="147"/>
      <c r="O201" s="148"/>
      <c r="P201" s="24"/>
      <c r="Q201" s="148"/>
      <c r="R201" s="149"/>
      <c r="S201" s="146"/>
      <c r="T201" s="149"/>
      <c r="U201" s="53"/>
      <c r="V201" s="150"/>
      <c r="W201" s="24"/>
      <c r="X201" s="150"/>
      <c r="Y201" s="22"/>
    </row>
    <row r="202" spans="1:25" ht="15" customHeight="1">
      <c r="A202" s="22"/>
      <c r="B202" s="142"/>
      <c r="C202" s="192"/>
      <c r="D202" s="142"/>
      <c r="E202" s="144"/>
      <c r="F202" s="145"/>
      <c r="G202" s="144"/>
      <c r="H202" s="25"/>
      <c r="I202" s="146"/>
      <c r="J202" s="25"/>
      <c r="K202" s="147"/>
      <c r="L202" s="24"/>
      <c r="M202" s="145"/>
      <c r="N202" s="147"/>
      <c r="O202" s="148"/>
      <c r="P202" s="24"/>
      <c r="Q202" s="148"/>
      <c r="R202" s="149"/>
      <c r="S202" s="146"/>
      <c r="T202" s="149"/>
      <c r="U202" s="53"/>
      <c r="V202" s="150"/>
      <c r="W202" s="24"/>
      <c r="X202" s="150"/>
      <c r="Y202" s="22"/>
    </row>
    <row r="203" spans="1:25" ht="15" hidden="1">
      <c r="A203" s="22"/>
      <c r="B203" s="142"/>
      <c r="C203" s="191"/>
      <c r="D203" s="142"/>
      <c r="E203" s="144"/>
      <c r="F203" s="145"/>
      <c r="G203" s="144"/>
      <c r="H203" s="25"/>
      <c r="I203" s="146"/>
      <c r="J203" s="25"/>
      <c r="K203" s="147"/>
      <c r="L203" s="24"/>
      <c r="M203" s="145"/>
      <c r="N203" s="147"/>
      <c r="O203" s="148"/>
      <c r="P203" s="24"/>
      <c r="Q203" s="148"/>
      <c r="R203" s="149"/>
      <c r="S203" s="146"/>
      <c r="T203" s="149"/>
      <c r="U203" s="53"/>
      <c r="V203" s="150"/>
      <c r="W203" s="24"/>
      <c r="X203" s="150"/>
      <c r="Y203" s="22"/>
    </row>
    <row r="204" spans="1:25" ht="37.5" customHeight="1">
      <c r="A204" s="22" t="s">
        <v>17</v>
      </c>
      <c r="B204" s="22" t="s">
        <v>17</v>
      </c>
      <c r="C204" s="22" t="s">
        <v>17</v>
      </c>
      <c r="D204" s="22" t="s">
        <v>17</v>
      </c>
      <c r="E204" s="22" t="s">
        <v>17</v>
      </c>
      <c r="F204" s="22" t="s">
        <v>17</v>
      </c>
      <c r="G204" s="22" t="s">
        <v>17</v>
      </c>
      <c r="H204" s="22" t="s">
        <v>17</v>
      </c>
      <c r="I204" s="22" t="s">
        <v>17</v>
      </c>
      <c r="J204" s="22" t="s">
        <v>17</v>
      </c>
      <c r="K204" s="22" t="s">
        <v>17</v>
      </c>
      <c r="L204" s="22" t="s">
        <v>17</v>
      </c>
      <c r="M204" s="22" t="s">
        <v>17</v>
      </c>
      <c r="N204" s="22" t="s">
        <v>17</v>
      </c>
      <c r="O204" s="22" t="s">
        <v>17</v>
      </c>
      <c r="P204" s="22" t="s">
        <v>17</v>
      </c>
      <c r="Q204" s="22" t="s">
        <v>17</v>
      </c>
      <c r="R204" s="22" t="s">
        <v>17</v>
      </c>
      <c r="S204" s="22" t="s">
        <v>17</v>
      </c>
      <c r="T204" s="22" t="s">
        <v>17</v>
      </c>
      <c r="U204" s="22" t="s">
        <v>17</v>
      </c>
      <c r="V204" s="22" t="s">
        <v>17</v>
      </c>
      <c r="W204" s="22" t="s">
        <v>17</v>
      </c>
      <c r="X204" s="22" t="s">
        <v>17</v>
      </c>
      <c r="Y204" s="22" t="s">
        <v>17</v>
      </c>
    </row>
  </sheetData>
  <sheetProtection password="F7F9" sheet="1" objects="1" scenarios="1"/>
  <mergeCells count="52">
    <mergeCell ref="A1:Y1"/>
    <mergeCell ref="A204:Y204"/>
    <mergeCell ref="C3:S3"/>
    <mergeCell ref="C10:S10"/>
    <mergeCell ref="C11:S11"/>
    <mergeCell ref="C12:S12"/>
    <mergeCell ref="C14:S14"/>
    <mergeCell ref="L25:M25"/>
    <mergeCell ref="L30:M30"/>
    <mergeCell ref="L33:M33"/>
    <mergeCell ref="L34:M34"/>
    <mergeCell ref="L39:M39"/>
    <mergeCell ref="L42:M42"/>
    <mergeCell ref="L76:M76"/>
    <mergeCell ref="L81:M81"/>
    <mergeCell ref="L82:M82"/>
    <mergeCell ref="L83:M83"/>
    <mergeCell ref="L84:M84"/>
    <mergeCell ref="L85:M85"/>
    <mergeCell ref="L86:M86"/>
    <mergeCell ref="L87:M87"/>
    <mergeCell ref="L88:M88"/>
    <mergeCell ref="L89:M89"/>
    <mergeCell ref="L92:M92"/>
    <mergeCell ref="L97:M97"/>
    <mergeCell ref="L109:M109"/>
    <mergeCell ref="L110:M110"/>
    <mergeCell ref="L111:M111"/>
    <mergeCell ref="L112:M112"/>
    <mergeCell ref="L113:M113"/>
    <mergeCell ref="L114:M114"/>
    <mergeCell ref="C124:S124"/>
    <mergeCell ref="L132:M132"/>
    <mergeCell ref="L140:M140"/>
    <mergeCell ref="L141:M141"/>
    <mergeCell ref="L142:M142"/>
    <mergeCell ref="L145:M145"/>
    <mergeCell ref="L153:M153"/>
    <mergeCell ref="L154:M154"/>
    <mergeCell ref="L155:M155"/>
    <mergeCell ref="L158:M158"/>
    <mergeCell ref="L166:M166"/>
    <mergeCell ref="L167:M167"/>
    <mergeCell ref="L168:M168"/>
    <mergeCell ref="L171:M171"/>
    <mergeCell ref="L179:M179"/>
    <mergeCell ref="L180:M180"/>
    <mergeCell ref="L181:M181"/>
    <mergeCell ref="L184:M184"/>
    <mergeCell ref="L189:M189"/>
    <mergeCell ref="C199:S199"/>
    <mergeCell ref="C200:S200"/>
  </mergeCells>
  <conditionalFormatting sqref="A1:Y1">
    <cfRule type="cellIs" priority="1" dxfId="0" operator="notEqual" stopIfTrue="1">
      <formula>""</formula>
    </cfRule>
  </conditionalFormatting>
  <conditionalFormatting sqref="P13">
    <cfRule type="cellIs" priority="2" dxfId="1" operator="equal" stopIfTrue="1">
      <formula>"Fail"</formula>
    </cfRule>
    <cfRule type="cellIs" priority="3" dxfId="2" operator="equal" stopIfTrue="1">
      <formula>"Pass"</formula>
    </cfRule>
    <cfRule type="cellIs" priority="4" dxfId="3" operator="equal" stopIfTrue="1">
      <formula>"PassBecauseBlankAllowed"</formula>
    </cfRule>
    <cfRule type="cellIs" priority="5" dxfId="4" operator="equal" stopIfTrue="1">
      <formula>"PassBecauseNoConstraints"</formula>
    </cfRule>
  </conditionalFormatting>
  <conditionalFormatting sqref="P25">
    <cfRule type="cellIs" priority="6" dxfId="1" operator="equal" stopIfTrue="1">
      <formula>"Fail"</formula>
    </cfRule>
    <cfRule type="cellIs" priority="7" dxfId="2" operator="equal" stopIfTrue="1">
      <formula>"Pass"</formula>
    </cfRule>
    <cfRule type="cellIs" priority="8" dxfId="3" operator="equal" stopIfTrue="1">
      <formula>"PassBecauseBlankAllowed"</formula>
    </cfRule>
    <cfRule type="cellIs" priority="9" dxfId="4" operator="equal" stopIfTrue="1">
      <formula>"PassBecauseNoConstraints"</formula>
    </cfRule>
  </conditionalFormatting>
  <conditionalFormatting sqref="P30">
    <cfRule type="cellIs" priority="10" dxfId="1" operator="equal" stopIfTrue="1">
      <formula>"Fail"</formula>
    </cfRule>
    <cfRule type="cellIs" priority="11" dxfId="2" operator="equal" stopIfTrue="1">
      <formula>"Pass"</formula>
    </cfRule>
    <cfRule type="cellIs" priority="12" dxfId="3" operator="equal" stopIfTrue="1">
      <formula>"PassBecauseBlankAllowed"</formula>
    </cfRule>
    <cfRule type="cellIs" priority="13" dxfId="4" operator="equal" stopIfTrue="1">
      <formula>"PassBecauseNoConstraints"</formula>
    </cfRule>
  </conditionalFormatting>
  <conditionalFormatting sqref="P33">
    <cfRule type="cellIs" priority="14" dxfId="1" operator="equal" stopIfTrue="1">
      <formula>"Fail"</formula>
    </cfRule>
    <cfRule type="cellIs" priority="15" dxfId="2" operator="equal" stopIfTrue="1">
      <formula>"Pass"</formula>
    </cfRule>
    <cfRule type="cellIs" priority="16" dxfId="3" operator="equal" stopIfTrue="1">
      <formula>"PassBecauseBlankAllowed"</formula>
    </cfRule>
    <cfRule type="cellIs" priority="17" dxfId="4" operator="equal" stopIfTrue="1">
      <formula>"PassBecauseNoConstraints"</formula>
    </cfRule>
  </conditionalFormatting>
  <conditionalFormatting sqref="P34">
    <cfRule type="cellIs" priority="18" dxfId="1" operator="equal" stopIfTrue="1">
      <formula>"Fail"</formula>
    </cfRule>
    <cfRule type="cellIs" priority="19" dxfId="2" operator="equal" stopIfTrue="1">
      <formula>"Pass"</formula>
    </cfRule>
    <cfRule type="cellIs" priority="20" dxfId="3" operator="equal" stopIfTrue="1">
      <formula>"PassBecauseBlankAllowed"</formula>
    </cfRule>
    <cfRule type="cellIs" priority="21" dxfId="4" operator="equal" stopIfTrue="1">
      <formula>"PassBecauseNoConstraints"</formula>
    </cfRule>
  </conditionalFormatting>
  <conditionalFormatting sqref="P39">
    <cfRule type="cellIs" priority="22" dxfId="1" operator="equal" stopIfTrue="1">
      <formula>"Fail"</formula>
    </cfRule>
    <cfRule type="cellIs" priority="23" dxfId="2" operator="equal" stopIfTrue="1">
      <formula>"Pass"</formula>
    </cfRule>
    <cfRule type="cellIs" priority="24" dxfId="3" operator="equal" stopIfTrue="1">
      <formula>"PassBecauseBlankAllowed"</formula>
    </cfRule>
    <cfRule type="cellIs" priority="25" dxfId="4" operator="equal" stopIfTrue="1">
      <formula>"PassBecauseNoConstraints"</formula>
    </cfRule>
  </conditionalFormatting>
  <conditionalFormatting sqref="P42">
    <cfRule type="cellIs" priority="26" dxfId="1" operator="equal" stopIfTrue="1">
      <formula>"Fail"</formula>
    </cfRule>
    <cfRule type="cellIs" priority="27" dxfId="2" operator="equal" stopIfTrue="1">
      <formula>"Pass"</formula>
    </cfRule>
    <cfRule type="cellIs" priority="28" dxfId="3" operator="equal" stopIfTrue="1">
      <formula>"PassBecauseBlankAllowed"</formula>
    </cfRule>
    <cfRule type="cellIs" priority="29" dxfId="4" operator="equal" stopIfTrue="1">
      <formula>"PassBecauseNoConstraints"</formula>
    </cfRule>
  </conditionalFormatting>
  <conditionalFormatting sqref="P57">
    <cfRule type="cellIs" priority="30" dxfId="1" operator="equal" stopIfTrue="1">
      <formula>"Fail"</formula>
    </cfRule>
    <cfRule type="cellIs" priority="31" dxfId="2" operator="equal" stopIfTrue="1">
      <formula>"Pass"</formula>
    </cfRule>
    <cfRule type="cellIs" priority="32" dxfId="3" operator="equal" stopIfTrue="1">
      <formula>"PassBecauseBlankAllowed"</formula>
    </cfRule>
    <cfRule type="cellIs" priority="33" dxfId="4" operator="equal" stopIfTrue="1">
      <formula>"PassBecauseNoConstraints"</formula>
    </cfRule>
  </conditionalFormatting>
  <conditionalFormatting sqref="P58">
    <cfRule type="cellIs" priority="34" dxfId="1" operator="equal" stopIfTrue="1">
      <formula>"Fail"</formula>
    </cfRule>
    <cfRule type="cellIs" priority="35" dxfId="2" operator="equal" stopIfTrue="1">
      <formula>"Pass"</formula>
    </cfRule>
    <cfRule type="cellIs" priority="36" dxfId="3" operator="equal" stopIfTrue="1">
      <formula>"PassBecauseBlankAllowed"</formula>
    </cfRule>
    <cfRule type="cellIs" priority="37" dxfId="4" operator="equal" stopIfTrue="1">
      <formula>"PassBecauseNoConstraints"</formula>
    </cfRule>
  </conditionalFormatting>
  <conditionalFormatting sqref="P59">
    <cfRule type="cellIs" priority="38" dxfId="1" operator="equal" stopIfTrue="1">
      <formula>"Fail"</formula>
    </cfRule>
    <cfRule type="cellIs" priority="39" dxfId="2" operator="equal" stopIfTrue="1">
      <formula>"Pass"</formula>
    </cfRule>
    <cfRule type="cellIs" priority="40" dxfId="3" operator="equal" stopIfTrue="1">
      <formula>"PassBecauseBlankAllowed"</formula>
    </cfRule>
    <cfRule type="cellIs" priority="41" dxfId="4" operator="equal" stopIfTrue="1">
      <formula>"PassBecauseNoConstraints"</formula>
    </cfRule>
  </conditionalFormatting>
  <conditionalFormatting sqref="P60">
    <cfRule type="cellIs" priority="42" dxfId="1" operator="equal" stopIfTrue="1">
      <formula>"Fail"</formula>
    </cfRule>
    <cfRule type="cellIs" priority="43" dxfId="2" operator="equal" stopIfTrue="1">
      <formula>"Pass"</formula>
    </cfRule>
    <cfRule type="cellIs" priority="44" dxfId="3" operator="equal" stopIfTrue="1">
      <formula>"PassBecauseBlankAllowed"</formula>
    </cfRule>
    <cfRule type="cellIs" priority="45" dxfId="4" operator="equal" stopIfTrue="1">
      <formula>"PassBecauseNoConstraints"</formula>
    </cfRule>
  </conditionalFormatting>
  <conditionalFormatting sqref="P61">
    <cfRule type="cellIs" priority="46" dxfId="1" operator="equal" stopIfTrue="1">
      <formula>"Fail"</formula>
    </cfRule>
    <cfRule type="cellIs" priority="47" dxfId="2" operator="equal" stopIfTrue="1">
      <formula>"Pass"</formula>
    </cfRule>
    <cfRule type="cellIs" priority="48" dxfId="3" operator="equal" stopIfTrue="1">
      <formula>"PassBecauseBlankAllowed"</formula>
    </cfRule>
    <cfRule type="cellIs" priority="49" dxfId="4" operator="equal" stopIfTrue="1">
      <formula>"PassBecauseNoConstraints"</formula>
    </cfRule>
  </conditionalFormatting>
  <conditionalFormatting sqref="P62">
    <cfRule type="cellIs" priority="50" dxfId="1" operator="equal" stopIfTrue="1">
      <formula>"Fail"</formula>
    </cfRule>
    <cfRule type="cellIs" priority="51" dxfId="2" operator="equal" stopIfTrue="1">
      <formula>"Pass"</formula>
    </cfRule>
    <cfRule type="cellIs" priority="52" dxfId="3" operator="equal" stopIfTrue="1">
      <formula>"PassBecauseBlankAllowed"</formula>
    </cfRule>
    <cfRule type="cellIs" priority="53" dxfId="4" operator="equal" stopIfTrue="1">
      <formula>"PassBecauseNoConstraints"</formula>
    </cfRule>
  </conditionalFormatting>
  <conditionalFormatting sqref="P63">
    <cfRule type="cellIs" priority="54" dxfId="1" operator="equal" stopIfTrue="1">
      <formula>"Fail"</formula>
    </cfRule>
    <cfRule type="cellIs" priority="55" dxfId="2" operator="equal" stopIfTrue="1">
      <formula>"Pass"</formula>
    </cfRule>
    <cfRule type="cellIs" priority="56" dxfId="3" operator="equal" stopIfTrue="1">
      <formula>"PassBecauseBlankAllowed"</formula>
    </cfRule>
    <cfRule type="cellIs" priority="57" dxfId="4" operator="equal" stopIfTrue="1">
      <formula>"PassBecauseNoConstraints"</formula>
    </cfRule>
  </conditionalFormatting>
  <conditionalFormatting sqref="P64">
    <cfRule type="cellIs" priority="58" dxfId="1" operator="equal" stopIfTrue="1">
      <formula>"Fail"</formula>
    </cfRule>
    <cfRule type="cellIs" priority="59" dxfId="2" operator="equal" stopIfTrue="1">
      <formula>"Pass"</formula>
    </cfRule>
    <cfRule type="cellIs" priority="60" dxfId="3" operator="equal" stopIfTrue="1">
      <formula>"PassBecauseBlankAllowed"</formula>
    </cfRule>
    <cfRule type="cellIs" priority="61" dxfId="4" operator="equal" stopIfTrue="1">
      <formula>"PassBecauseNoConstraints"</formula>
    </cfRule>
  </conditionalFormatting>
  <conditionalFormatting sqref="P76">
    <cfRule type="cellIs" priority="62" dxfId="1" operator="equal" stopIfTrue="1">
      <formula>"Fail"</formula>
    </cfRule>
    <cfRule type="cellIs" priority="63" dxfId="2" operator="equal" stopIfTrue="1">
      <formula>"Pass"</formula>
    </cfRule>
    <cfRule type="cellIs" priority="64" dxfId="3" operator="equal" stopIfTrue="1">
      <formula>"PassBecauseBlankAllowed"</formula>
    </cfRule>
    <cfRule type="cellIs" priority="65" dxfId="4" operator="equal" stopIfTrue="1">
      <formula>"PassBecauseNoConstraints"</formula>
    </cfRule>
  </conditionalFormatting>
  <conditionalFormatting sqref="P81">
    <cfRule type="cellIs" priority="66" dxfId="1" operator="equal" stopIfTrue="1">
      <formula>"Fail"</formula>
    </cfRule>
    <cfRule type="cellIs" priority="67" dxfId="2" operator="equal" stopIfTrue="1">
      <formula>"Pass"</formula>
    </cfRule>
    <cfRule type="cellIs" priority="68" dxfId="3" operator="equal" stopIfTrue="1">
      <formula>"PassBecauseBlankAllowed"</formula>
    </cfRule>
    <cfRule type="cellIs" priority="69" dxfId="4" operator="equal" stopIfTrue="1">
      <formula>"PassBecauseNoConstraints"</formula>
    </cfRule>
  </conditionalFormatting>
  <conditionalFormatting sqref="P82">
    <cfRule type="cellIs" priority="70" dxfId="1" operator="equal" stopIfTrue="1">
      <formula>"Fail"</formula>
    </cfRule>
    <cfRule type="cellIs" priority="71" dxfId="2" operator="equal" stopIfTrue="1">
      <formula>"Pass"</formula>
    </cfRule>
    <cfRule type="cellIs" priority="72" dxfId="3" operator="equal" stopIfTrue="1">
      <formula>"PassBecauseBlankAllowed"</formula>
    </cfRule>
    <cfRule type="cellIs" priority="73" dxfId="4" operator="equal" stopIfTrue="1">
      <formula>"PassBecauseNoConstraints"</formula>
    </cfRule>
  </conditionalFormatting>
  <conditionalFormatting sqref="P83">
    <cfRule type="cellIs" priority="74" dxfId="1" operator="equal" stopIfTrue="1">
      <formula>"Fail"</formula>
    </cfRule>
    <cfRule type="cellIs" priority="75" dxfId="2" operator="equal" stopIfTrue="1">
      <formula>"Pass"</formula>
    </cfRule>
    <cfRule type="cellIs" priority="76" dxfId="3" operator="equal" stopIfTrue="1">
      <formula>"PassBecauseBlankAllowed"</formula>
    </cfRule>
    <cfRule type="cellIs" priority="77" dxfId="4" operator="equal" stopIfTrue="1">
      <formula>"PassBecauseNoConstraints"</formula>
    </cfRule>
  </conditionalFormatting>
  <conditionalFormatting sqref="P84">
    <cfRule type="cellIs" priority="78" dxfId="1" operator="equal" stopIfTrue="1">
      <formula>"Fail"</formula>
    </cfRule>
    <cfRule type="cellIs" priority="79" dxfId="2" operator="equal" stopIfTrue="1">
      <formula>"Pass"</formula>
    </cfRule>
    <cfRule type="cellIs" priority="80" dxfId="3" operator="equal" stopIfTrue="1">
      <formula>"PassBecauseBlankAllowed"</formula>
    </cfRule>
    <cfRule type="cellIs" priority="81" dxfId="4" operator="equal" stopIfTrue="1">
      <formula>"PassBecauseNoConstraints"</formula>
    </cfRule>
  </conditionalFormatting>
  <conditionalFormatting sqref="P85">
    <cfRule type="cellIs" priority="82" dxfId="1" operator="equal" stopIfTrue="1">
      <formula>"Fail"</formula>
    </cfRule>
    <cfRule type="cellIs" priority="83" dxfId="2" operator="equal" stopIfTrue="1">
      <formula>"Pass"</formula>
    </cfRule>
    <cfRule type="cellIs" priority="84" dxfId="3" operator="equal" stopIfTrue="1">
      <formula>"PassBecauseBlankAllowed"</formula>
    </cfRule>
    <cfRule type="cellIs" priority="85" dxfId="4" operator="equal" stopIfTrue="1">
      <formula>"PassBecauseNoConstraints"</formula>
    </cfRule>
  </conditionalFormatting>
  <conditionalFormatting sqref="P86">
    <cfRule type="cellIs" priority="86" dxfId="1" operator="equal" stopIfTrue="1">
      <formula>"Fail"</formula>
    </cfRule>
    <cfRule type="cellIs" priority="87" dxfId="2" operator="equal" stopIfTrue="1">
      <formula>"Pass"</formula>
    </cfRule>
    <cfRule type="cellIs" priority="88" dxfId="3" operator="equal" stopIfTrue="1">
      <formula>"PassBecauseBlankAllowed"</formula>
    </cfRule>
    <cfRule type="cellIs" priority="89" dxfId="4" operator="equal" stopIfTrue="1">
      <formula>"PassBecauseNoConstraints"</formula>
    </cfRule>
  </conditionalFormatting>
  <conditionalFormatting sqref="P87">
    <cfRule type="cellIs" priority="90" dxfId="1" operator="equal" stopIfTrue="1">
      <formula>"Fail"</formula>
    </cfRule>
    <cfRule type="cellIs" priority="91" dxfId="2" operator="equal" stopIfTrue="1">
      <formula>"Pass"</formula>
    </cfRule>
    <cfRule type="cellIs" priority="92" dxfId="3" operator="equal" stopIfTrue="1">
      <formula>"PassBecauseBlankAllowed"</formula>
    </cfRule>
    <cfRule type="cellIs" priority="93" dxfId="4" operator="equal" stopIfTrue="1">
      <formula>"PassBecauseNoConstraints"</formula>
    </cfRule>
  </conditionalFormatting>
  <conditionalFormatting sqref="P88">
    <cfRule type="cellIs" priority="94" dxfId="1" operator="equal" stopIfTrue="1">
      <formula>"Fail"</formula>
    </cfRule>
    <cfRule type="cellIs" priority="95" dxfId="2" operator="equal" stopIfTrue="1">
      <formula>"Pass"</formula>
    </cfRule>
    <cfRule type="cellIs" priority="96" dxfId="3" operator="equal" stopIfTrue="1">
      <formula>"PassBecauseBlankAllowed"</formula>
    </cfRule>
    <cfRule type="cellIs" priority="97" dxfId="4" operator="equal" stopIfTrue="1">
      <formula>"PassBecauseNoConstraints"</formula>
    </cfRule>
  </conditionalFormatting>
  <conditionalFormatting sqref="P89">
    <cfRule type="cellIs" priority="98" dxfId="1" operator="equal" stopIfTrue="1">
      <formula>"Fail"</formula>
    </cfRule>
    <cfRule type="cellIs" priority="99" dxfId="2" operator="equal" stopIfTrue="1">
      <formula>"Pass"</formula>
    </cfRule>
    <cfRule type="cellIs" priority="100" dxfId="3" operator="equal" stopIfTrue="1">
      <formula>"PassBecauseBlankAllowed"</formula>
    </cfRule>
    <cfRule type="cellIs" priority="101" dxfId="4" operator="equal" stopIfTrue="1">
      <formula>"PassBecauseNoConstraints"</formula>
    </cfRule>
  </conditionalFormatting>
  <conditionalFormatting sqref="P92">
    <cfRule type="cellIs" priority="102" dxfId="1" operator="equal" stopIfTrue="1">
      <formula>"Fail"</formula>
    </cfRule>
    <cfRule type="cellIs" priority="103" dxfId="2" operator="equal" stopIfTrue="1">
      <formula>"Pass"</formula>
    </cfRule>
    <cfRule type="cellIs" priority="104" dxfId="3" operator="equal" stopIfTrue="1">
      <formula>"PassBecauseBlankAllowed"</formula>
    </cfRule>
    <cfRule type="cellIs" priority="105" dxfId="4" operator="equal" stopIfTrue="1">
      <formula>"PassBecauseNoConstraints"</formula>
    </cfRule>
  </conditionalFormatting>
  <conditionalFormatting sqref="P97">
    <cfRule type="cellIs" priority="106" dxfId="1" operator="equal" stopIfTrue="1">
      <formula>"Fail"</formula>
    </cfRule>
    <cfRule type="cellIs" priority="107" dxfId="2" operator="equal" stopIfTrue="1">
      <formula>"Pass"</formula>
    </cfRule>
    <cfRule type="cellIs" priority="108" dxfId="3" operator="equal" stopIfTrue="1">
      <formula>"PassBecauseBlankAllowed"</formula>
    </cfRule>
    <cfRule type="cellIs" priority="109" dxfId="4" operator="equal" stopIfTrue="1">
      <formula>"PassBecauseNoConstraints"</formula>
    </cfRule>
  </conditionalFormatting>
  <conditionalFormatting sqref="P109">
    <cfRule type="cellIs" priority="110" dxfId="1" operator="equal" stopIfTrue="1">
      <formula>"Fail"</formula>
    </cfRule>
    <cfRule type="cellIs" priority="111" dxfId="2" operator="equal" stopIfTrue="1">
      <formula>"Pass"</formula>
    </cfRule>
    <cfRule type="cellIs" priority="112" dxfId="3" operator="equal" stopIfTrue="1">
      <formula>"PassBecauseBlankAllowed"</formula>
    </cfRule>
    <cfRule type="cellIs" priority="113" dxfId="4" operator="equal" stopIfTrue="1">
      <formula>"PassBecauseNoConstraints"</formula>
    </cfRule>
  </conditionalFormatting>
  <conditionalFormatting sqref="P110">
    <cfRule type="cellIs" priority="114" dxfId="1" operator="equal" stopIfTrue="1">
      <formula>"Fail"</formula>
    </cfRule>
    <cfRule type="cellIs" priority="115" dxfId="2" operator="equal" stopIfTrue="1">
      <formula>"Pass"</formula>
    </cfRule>
    <cfRule type="cellIs" priority="116" dxfId="3" operator="equal" stopIfTrue="1">
      <formula>"PassBecauseBlankAllowed"</formula>
    </cfRule>
    <cfRule type="cellIs" priority="117" dxfId="4" operator="equal" stopIfTrue="1">
      <formula>"PassBecauseNoConstraints"</formula>
    </cfRule>
  </conditionalFormatting>
  <conditionalFormatting sqref="P111">
    <cfRule type="cellIs" priority="118" dxfId="1" operator="equal" stopIfTrue="1">
      <formula>"Fail"</formula>
    </cfRule>
    <cfRule type="cellIs" priority="119" dxfId="2" operator="equal" stopIfTrue="1">
      <formula>"Pass"</formula>
    </cfRule>
    <cfRule type="cellIs" priority="120" dxfId="3" operator="equal" stopIfTrue="1">
      <formula>"PassBecauseBlankAllowed"</formula>
    </cfRule>
    <cfRule type="cellIs" priority="121" dxfId="4" operator="equal" stopIfTrue="1">
      <formula>"PassBecauseNoConstraints"</formula>
    </cfRule>
  </conditionalFormatting>
  <conditionalFormatting sqref="P112">
    <cfRule type="cellIs" priority="122" dxfId="1" operator="equal" stopIfTrue="1">
      <formula>"Fail"</formula>
    </cfRule>
    <cfRule type="cellIs" priority="123" dxfId="2" operator="equal" stopIfTrue="1">
      <formula>"Pass"</formula>
    </cfRule>
    <cfRule type="cellIs" priority="124" dxfId="3" operator="equal" stopIfTrue="1">
      <formula>"PassBecauseBlankAllowed"</formula>
    </cfRule>
    <cfRule type="cellIs" priority="125" dxfId="4" operator="equal" stopIfTrue="1">
      <formula>"PassBecauseNoConstraints"</formula>
    </cfRule>
  </conditionalFormatting>
  <conditionalFormatting sqref="P113">
    <cfRule type="cellIs" priority="126" dxfId="1" operator="equal" stopIfTrue="1">
      <formula>"Fail"</formula>
    </cfRule>
    <cfRule type="cellIs" priority="127" dxfId="2" operator="equal" stopIfTrue="1">
      <formula>"Pass"</formula>
    </cfRule>
    <cfRule type="cellIs" priority="128" dxfId="3" operator="equal" stopIfTrue="1">
      <formula>"PassBecauseBlankAllowed"</formula>
    </cfRule>
    <cfRule type="cellIs" priority="129" dxfId="4" operator="equal" stopIfTrue="1">
      <formula>"PassBecauseNoConstraints"</formula>
    </cfRule>
  </conditionalFormatting>
  <conditionalFormatting sqref="P114">
    <cfRule type="cellIs" priority="130" dxfId="1" operator="equal" stopIfTrue="1">
      <formula>"Fail"</formula>
    </cfRule>
    <cfRule type="cellIs" priority="131" dxfId="2" operator="equal" stopIfTrue="1">
      <formula>"Pass"</formula>
    </cfRule>
    <cfRule type="cellIs" priority="132" dxfId="3" operator="equal" stopIfTrue="1">
      <formula>"PassBecauseBlankAllowed"</formula>
    </cfRule>
    <cfRule type="cellIs" priority="133" dxfId="4" operator="equal" stopIfTrue="1">
      <formula>"PassBecauseNoConstraints"</formula>
    </cfRule>
  </conditionalFormatting>
  <conditionalFormatting sqref="P132">
    <cfRule type="cellIs" priority="134" dxfId="1" operator="equal" stopIfTrue="1">
      <formula>"Fail"</formula>
    </cfRule>
    <cfRule type="cellIs" priority="135" dxfId="2" operator="equal" stopIfTrue="1">
      <formula>"Pass"</formula>
    </cfRule>
    <cfRule type="cellIs" priority="136" dxfId="3" operator="equal" stopIfTrue="1">
      <formula>"PassBecauseBlankAllowed"</formula>
    </cfRule>
    <cfRule type="cellIs" priority="137" dxfId="4" operator="equal" stopIfTrue="1">
      <formula>"PassBecauseNoConstraints"</formula>
    </cfRule>
  </conditionalFormatting>
  <conditionalFormatting sqref="P140">
    <cfRule type="cellIs" priority="138" dxfId="1" operator="equal" stopIfTrue="1">
      <formula>"Fail"</formula>
    </cfRule>
    <cfRule type="cellIs" priority="139" dxfId="2" operator="equal" stopIfTrue="1">
      <formula>"Pass"</formula>
    </cfRule>
    <cfRule type="cellIs" priority="140" dxfId="3" operator="equal" stopIfTrue="1">
      <formula>"PassBecauseBlankAllowed"</formula>
    </cfRule>
    <cfRule type="cellIs" priority="141" dxfId="4" operator="equal" stopIfTrue="1">
      <formula>"PassBecauseNoConstraints"</formula>
    </cfRule>
  </conditionalFormatting>
  <conditionalFormatting sqref="P141">
    <cfRule type="cellIs" priority="142" dxfId="1" operator="equal" stopIfTrue="1">
      <formula>"Fail"</formula>
    </cfRule>
    <cfRule type="cellIs" priority="143" dxfId="2" operator="equal" stopIfTrue="1">
      <formula>"Pass"</formula>
    </cfRule>
    <cfRule type="cellIs" priority="144" dxfId="3" operator="equal" stopIfTrue="1">
      <formula>"PassBecauseBlankAllowed"</formula>
    </cfRule>
    <cfRule type="cellIs" priority="145" dxfId="4" operator="equal" stopIfTrue="1">
      <formula>"PassBecauseNoConstraints"</formula>
    </cfRule>
  </conditionalFormatting>
  <conditionalFormatting sqref="P142">
    <cfRule type="cellIs" priority="146" dxfId="1" operator="equal" stopIfTrue="1">
      <formula>"Fail"</formula>
    </cfRule>
    <cfRule type="cellIs" priority="147" dxfId="2" operator="equal" stopIfTrue="1">
      <formula>"Pass"</formula>
    </cfRule>
    <cfRule type="cellIs" priority="148" dxfId="3" operator="equal" stopIfTrue="1">
      <formula>"PassBecauseBlankAllowed"</formula>
    </cfRule>
    <cfRule type="cellIs" priority="149" dxfId="4" operator="equal" stopIfTrue="1">
      <formula>"PassBecauseNoConstraints"</formula>
    </cfRule>
  </conditionalFormatting>
  <conditionalFormatting sqref="P145">
    <cfRule type="cellIs" priority="150" dxfId="1" operator="equal" stopIfTrue="1">
      <formula>"Fail"</formula>
    </cfRule>
    <cfRule type="cellIs" priority="151" dxfId="2" operator="equal" stopIfTrue="1">
      <formula>"Pass"</formula>
    </cfRule>
    <cfRule type="cellIs" priority="152" dxfId="3" operator="equal" stopIfTrue="1">
      <formula>"PassBecauseBlankAllowed"</formula>
    </cfRule>
    <cfRule type="cellIs" priority="153" dxfId="4" operator="equal" stopIfTrue="1">
      <formula>"PassBecauseNoConstraints"</formula>
    </cfRule>
  </conditionalFormatting>
  <conditionalFormatting sqref="P153">
    <cfRule type="cellIs" priority="154" dxfId="1" operator="equal" stopIfTrue="1">
      <formula>"Fail"</formula>
    </cfRule>
    <cfRule type="cellIs" priority="155" dxfId="2" operator="equal" stopIfTrue="1">
      <formula>"Pass"</formula>
    </cfRule>
    <cfRule type="cellIs" priority="156" dxfId="3" operator="equal" stopIfTrue="1">
      <formula>"PassBecauseBlankAllowed"</formula>
    </cfRule>
    <cfRule type="cellIs" priority="157" dxfId="4" operator="equal" stopIfTrue="1">
      <formula>"PassBecauseNoConstraints"</formula>
    </cfRule>
  </conditionalFormatting>
  <conditionalFormatting sqref="P154">
    <cfRule type="cellIs" priority="158" dxfId="1" operator="equal" stopIfTrue="1">
      <formula>"Fail"</formula>
    </cfRule>
    <cfRule type="cellIs" priority="159" dxfId="2" operator="equal" stopIfTrue="1">
      <formula>"Pass"</formula>
    </cfRule>
    <cfRule type="cellIs" priority="160" dxfId="3" operator="equal" stopIfTrue="1">
      <formula>"PassBecauseBlankAllowed"</formula>
    </cfRule>
    <cfRule type="cellIs" priority="161" dxfId="4" operator="equal" stopIfTrue="1">
      <formula>"PassBecauseNoConstraints"</formula>
    </cfRule>
  </conditionalFormatting>
  <conditionalFormatting sqref="P155">
    <cfRule type="cellIs" priority="162" dxfId="1" operator="equal" stopIfTrue="1">
      <formula>"Fail"</formula>
    </cfRule>
    <cfRule type="cellIs" priority="163" dxfId="2" operator="equal" stopIfTrue="1">
      <formula>"Pass"</formula>
    </cfRule>
    <cfRule type="cellIs" priority="164" dxfId="3" operator="equal" stopIfTrue="1">
      <formula>"PassBecauseBlankAllowed"</formula>
    </cfRule>
    <cfRule type="cellIs" priority="165" dxfId="4" operator="equal" stopIfTrue="1">
      <formula>"PassBecauseNoConstraints"</formula>
    </cfRule>
  </conditionalFormatting>
  <conditionalFormatting sqref="P158">
    <cfRule type="cellIs" priority="166" dxfId="1" operator="equal" stopIfTrue="1">
      <formula>"Fail"</formula>
    </cfRule>
    <cfRule type="cellIs" priority="167" dxfId="2" operator="equal" stopIfTrue="1">
      <formula>"Pass"</formula>
    </cfRule>
    <cfRule type="cellIs" priority="168" dxfId="3" operator="equal" stopIfTrue="1">
      <formula>"PassBecauseBlankAllowed"</formula>
    </cfRule>
    <cfRule type="cellIs" priority="169" dxfId="4" operator="equal" stopIfTrue="1">
      <formula>"PassBecauseNoConstraints"</formula>
    </cfRule>
  </conditionalFormatting>
  <conditionalFormatting sqref="P166">
    <cfRule type="cellIs" priority="170" dxfId="1" operator="equal" stopIfTrue="1">
      <formula>"Fail"</formula>
    </cfRule>
    <cfRule type="cellIs" priority="171" dxfId="2" operator="equal" stopIfTrue="1">
      <formula>"Pass"</formula>
    </cfRule>
    <cfRule type="cellIs" priority="172" dxfId="3" operator="equal" stopIfTrue="1">
      <formula>"PassBecauseBlankAllowed"</formula>
    </cfRule>
    <cfRule type="cellIs" priority="173" dxfId="4" operator="equal" stopIfTrue="1">
      <formula>"PassBecauseNoConstraints"</formula>
    </cfRule>
  </conditionalFormatting>
  <conditionalFormatting sqref="P167">
    <cfRule type="cellIs" priority="174" dxfId="1" operator="equal" stopIfTrue="1">
      <formula>"Fail"</formula>
    </cfRule>
    <cfRule type="cellIs" priority="175" dxfId="2" operator="equal" stopIfTrue="1">
      <formula>"Pass"</formula>
    </cfRule>
    <cfRule type="cellIs" priority="176" dxfId="3" operator="equal" stopIfTrue="1">
      <formula>"PassBecauseBlankAllowed"</formula>
    </cfRule>
    <cfRule type="cellIs" priority="177" dxfId="4" operator="equal" stopIfTrue="1">
      <formula>"PassBecauseNoConstraints"</formula>
    </cfRule>
  </conditionalFormatting>
  <conditionalFormatting sqref="P168">
    <cfRule type="cellIs" priority="178" dxfId="1" operator="equal" stopIfTrue="1">
      <formula>"Fail"</formula>
    </cfRule>
    <cfRule type="cellIs" priority="179" dxfId="2" operator="equal" stopIfTrue="1">
      <formula>"Pass"</formula>
    </cfRule>
    <cfRule type="cellIs" priority="180" dxfId="3" operator="equal" stopIfTrue="1">
      <formula>"PassBecauseBlankAllowed"</formula>
    </cfRule>
    <cfRule type="cellIs" priority="181" dxfId="4" operator="equal" stopIfTrue="1">
      <formula>"PassBecauseNoConstraints"</formula>
    </cfRule>
  </conditionalFormatting>
  <conditionalFormatting sqref="P171">
    <cfRule type="cellIs" priority="182" dxfId="1" operator="equal" stopIfTrue="1">
      <formula>"Fail"</formula>
    </cfRule>
    <cfRule type="cellIs" priority="183" dxfId="2" operator="equal" stopIfTrue="1">
      <formula>"Pass"</formula>
    </cfRule>
    <cfRule type="cellIs" priority="184" dxfId="3" operator="equal" stopIfTrue="1">
      <formula>"PassBecauseBlankAllowed"</formula>
    </cfRule>
    <cfRule type="cellIs" priority="185" dxfId="4" operator="equal" stopIfTrue="1">
      <formula>"PassBecauseNoConstraints"</formula>
    </cfRule>
  </conditionalFormatting>
  <conditionalFormatting sqref="P179">
    <cfRule type="cellIs" priority="186" dxfId="1" operator="equal" stopIfTrue="1">
      <formula>"Fail"</formula>
    </cfRule>
    <cfRule type="cellIs" priority="187" dxfId="2" operator="equal" stopIfTrue="1">
      <formula>"Pass"</formula>
    </cfRule>
    <cfRule type="cellIs" priority="188" dxfId="3" operator="equal" stopIfTrue="1">
      <formula>"PassBecauseBlankAllowed"</formula>
    </cfRule>
    <cfRule type="cellIs" priority="189" dxfId="4" operator="equal" stopIfTrue="1">
      <formula>"PassBecauseNoConstraints"</formula>
    </cfRule>
  </conditionalFormatting>
  <conditionalFormatting sqref="P180">
    <cfRule type="cellIs" priority="190" dxfId="1" operator="equal" stopIfTrue="1">
      <formula>"Fail"</formula>
    </cfRule>
    <cfRule type="cellIs" priority="191" dxfId="2" operator="equal" stopIfTrue="1">
      <formula>"Pass"</formula>
    </cfRule>
    <cfRule type="cellIs" priority="192" dxfId="3" operator="equal" stopIfTrue="1">
      <formula>"PassBecauseBlankAllowed"</formula>
    </cfRule>
    <cfRule type="cellIs" priority="193" dxfId="4" operator="equal" stopIfTrue="1">
      <formula>"PassBecauseNoConstraints"</formula>
    </cfRule>
  </conditionalFormatting>
  <conditionalFormatting sqref="P181">
    <cfRule type="cellIs" priority="194" dxfId="1" operator="equal" stopIfTrue="1">
      <formula>"Fail"</formula>
    </cfRule>
    <cfRule type="cellIs" priority="195" dxfId="2" operator="equal" stopIfTrue="1">
      <formula>"Pass"</formula>
    </cfRule>
    <cfRule type="cellIs" priority="196" dxfId="3" operator="equal" stopIfTrue="1">
      <formula>"PassBecauseBlankAllowed"</formula>
    </cfRule>
    <cfRule type="cellIs" priority="197" dxfId="4" operator="equal" stopIfTrue="1">
      <formula>"PassBecauseNoConstraints"</formula>
    </cfRule>
  </conditionalFormatting>
  <conditionalFormatting sqref="P184">
    <cfRule type="cellIs" priority="198" dxfId="1" operator="equal" stopIfTrue="1">
      <formula>"Fail"</formula>
    </cfRule>
    <cfRule type="cellIs" priority="199" dxfId="2" operator="equal" stopIfTrue="1">
      <formula>"Pass"</formula>
    </cfRule>
    <cfRule type="cellIs" priority="200" dxfId="3" operator="equal" stopIfTrue="1">
      <formula>"PassBecauseBlankAllowed"</formula>
    </cfRule>
    <cfRule type="cellIs" priority="201" dxfId="4" operator="equal" stopIfTrue="1">
      <formula>"PassBecauseNoConstraints"</formula>
    </cfRule>
  </conditionalFormatting>
  <conditionalFormatting sqref="P189">
    <cfRule type="cellIs" priority="202" dxfId="1" operator="equal" stopIfTrue="1">
      <formula>"Fail"</formula>
    </cfRule>
    <cfRule type="cellIs" priority="203" dxfId="2" operator="equal" stopIfTrue="1">
      <formula>"Pass"</formula>
    </cfRule>
    <cfRule type="cellIs" priority="204" dxfId="3" operator="equal" stopIfTrue="1">
      <formula>"PassBecauseBlankAllowed"</formula>
    </cfRule>
    <cfRule type="cellIs" priority="205" dxfId="4" operator="equal" stopIfTrue="1">
      <formula>"PassBecauseNoConstraints"</formula>
    </cfRule>
  </conditionalFormatting>
  <dataValidations count="50">
    <dataValidation type="decimal" operator="notEqual" allowBlank="1" showErrorMessage="1" errorTitle="Oops!" error="Please enter a number." sqref="I25">
      <formula1>-999999999999</formula1>
    </dataValidation>
    <dataValidation type="decimal" operator="notEqual" allowBlank="1" showErrorMessage="1" errorTitle="Oops!" error="Please enter a number." sqref="I30">
      <formula1>-999999999999</formula1>
    </dataValidation>
    <dataValidation type="decimal" operator="notEqual" allowBlank="1" showErrorMessage="1" errorTitle="Oops!" error="Please enter a number." sqref="I33">
      <formula1>-999999999999</formula1>
    </dataValidation>
    <dataValidation type="decimal" operator="notEqual" allowBlank="1" showErrorMessage="1" errorTitle="Oops!" error="Please enter a number." sqref="I34">
      <formula1>-999999999999</formula1>
    </dataValidation>
    <dataValidation type="decimal" operator="notEqual" allowBlank="1" showErrorMessage="1" errorTitle="Oops!" error="Please enter a number." sqref="I39">
      <formula1>-999999999999</formula1>
    </dataValidation>
    <dataValidation type="decimal" operator="notEqual" allowBlank="1" showErrorMessage="1" errorTitle="Oops!" error="Please enter a number." sqref="I42">
      <formula1>-999999999999</formula1>
    </dataValidation>
    <dataValidation type="list" allowBlank="1" showErrorMessage="1" errorTitle="Oops!" error="Please select a value from the drop-down." sqref="I57">
      <formula1>'Operations-Lists'!$A$1:$A$3</formula1>
    </dataValidation>
    <dataValidation type="list" allowBlank="1" showErrorMessage="1" errorTitle="Oops!" error="Please select a value from the drop-down." sqref="I58">
      <formula1>'Operations-Lists'!$B$1:$B$3</formula1>
    </dataValidation>
    <dataValidation type="list" allowBlank="1" showErrorMessage="1" errorTitle="Oops!" error="Please select a value from the drop-down." sqref="I59">
      <formula1>'Operations-Lists'!$C$1:$C$3</formula1>
    </dataValidation>
    <dataValidation type="list" allowBlank="1" showErrorMessage="1" errorTitle="Oops!" error="Please select a value from the drop-down." sqref="I60">
      <formula1>'Operations-Lists'!$D$1:$D$3</formula1>
    </dataValidation>
    <dataValidation type="list" allowBlank="1" showErrorMessage="1" errorTitle="Oops!" error="Please select a value from the drop-down." sqref="I61">
      <formula1>'Operations-Lists'!$E$1:$E$3</formula1>
    </dataValidation>
    <dataValidation type="list" allowBlank="1" showErrorMessage="1" errorTitle="Oops!" error="Please select a value from the drop-down." sqref="I62">
      <formula1>'Operations-Lists'!$F$1:$F$3</formula1>
    </dataValidation>
    <dataValidation type="list" allowBlank="1" showErrorMessage="1" errorTitle="Oops!" error="Please select a value from the drop-down." sqref="I63">
      <formula1>'Operations-Lists'!$G$1:$G$3</formula1>
    </dataValidation>
    <dataValidation type="list" allowBlank="1" showErrorMessage="1" errorTitle="Oops!" error="Please select a value from the drop-down." sqref="I64">
      <formula1>'Operations-Lists'!$H$1:$H$3</formula1>
    </dataValidation>
    <dataValidation type="decimal" operator="notEqual" allowBlank="1" showErrorMessage="1" errorTitle="Oops!" error="Please enter a number." sqref="I76">
      <formula1>-999999999999</formula1>
    </dataValidation>
    <dataValidation type="decimal" operator="notEqual" allowBlank="1" showErrorMessage="1" errorTitle="Oops!" error="Please enter a number." sqref="I81">
      <formula1>-999999999999</formula1>
    </dataValidation>
    <dataValidation type="decimal" operator="notEqual" allowBlank="1" showErrorMessage="1" errorTitle="Oops!" error="Please enter a number." sqref="I82">
      <formula1>-999999999999</formula1>
    </dataValidation>
    <dataValidation type="decimal" operator="notEqual" allowBlank="1" showErrorMessage="1" errorTitle="Oops!" error="Please enter a number." sqref="I83">
      <formula1>-999999999999</formula1>
    </dataValidation>
    <dataValidation type="decimal" operator="notEqual" allowBlank="1" showErrorMessage="1" errorTitle="Oops!" error="Please enter a number." sqref="I84">
      <formula1>-999999999999</formula1>
    </dataValidation>
    <dataValidation type="decimal" operator="notEqual" allowBlank="1" showErrorMessage="1" errorTitle="Oops!" error="Please enter a number." sqref="I85">
      <formula1>-999999999999</formula1>
    </dataValidation>
    <dataValidation type="decimal" operator="notEqual" allowBlank="1" showErrorMessage="1" errorTitle="Oops!" error="Please enter a number." sqref="I86">
      <formula1>-999999999999</formula1>
    </dataValidation>
    <dataValidation type="decimal" operator="notEqual" allowBlank="1" showErrorMessage="1" errorTitle="Oops!" error="Please enter a number." sqref="I87">
      <formula1>-999999999999</formula1>
    </dataValidation>
    <dataValidation type="decimal" operator="notEqual" allowBlank="1" showErrorMessage="1" errorTitle="Oops!" error="Please enter a number." sqref="I88">
      <formula1>-999999999999</formula1>
    </dataValidation>
    <dataValidation type="decimal" operator="notEqual" allowBlank="1" showErrorMessage="1" errorTitle="Oops!" error="Please enter a number." sqref="I89">
      <formula1>-999999999999</formula1>
    </dataValidation>
    <dataValidation type="decimal" operator="notEqual" allowBlank="1" showErrorMessage="1" errorTitle="Oops!" error="Please enter a number." sqref="I92">
      <formula1>-999999999999</formula1>
    </dataValidation>
    <dataValidation type="decimal" operator="notEqual" allowBlank="1" showErrorMessage="1" errorTitle="Oops!" error="Please enter a number." sqref="I97">
      <formula1>-999999999999</formula1>
    </dataValidation>
    <dataValidation type="decimal" operator="notEqual" allowBlank="1" showErrorMessage="1" errorTitle="Oops!" error="Please enter a number." sqref="I109">
      <formula1>-999999999999</formula1>
    </dataValidation>
    <dataValidation type="decimal" operator="notEqual" allowBlank="1" showErrorMessage="1" errorTitle="Oops!" error="Please enter a number." sqref="I110">
      <formula1>-999999999999</formula1>
    </dataValidation>
    <dataValidation type="decimal" operator="notEqual" allowBlank="1" showErrorMessage="1" errorTitle="Oops!" error="Please enter a number." sqref="I111">
      <formula1>-999999999999</formula1>
    </dataValidation>
    <dataValidation type="decimal" operator="notEqual" allowBlank="1" showErrorMessage="1" errorTitle="Oops!" error="Please enter a number." sqref="I112">
      <formula1>-999999999999</formula1>
    </dataValidation>
    <dataValidation type="decimal" operator="notEqual" allowBlank="1" showErrorMessage="1" errorTitle="Oops!" error="Please enter a number." sqref="I113">
      <formula1>-999999999999</formula1>
    </dataValidation>
    <dataValidation type="decimal" operator="notEqual" allowBlank="1" showErrorMessage="1" errorTitle="Oops!" error="Please enter a number." sqref="I114">
      <formula1>-999999999999</formula1>
    </dataValidation>
    <dataValidation type="decimal" operator="notEqual" allowBlank="1" showErrorMessage="1" errorTitle="Oops!" error="Please enter a number." sqref="I132">
      <formula1>-999999999999</formula1>
    </dataValidation>
    <dataValidation type="decimal" operator="notEqual" allowBlank="1" showErrorMessage="1" errorTitle="Oops!" error="Please enter a number." sqref="I140">
      <formula1>-999999999999</formula1>
    </dataValidation>
    <dataValidation type="decimal" operator="notEqual" allowBlank="1" showErrorMessage="1" errorTitle="Oops!" error="Please enter a number." sqref="I141">
      <formula1>-999999999999</formula1>
    </dataValidation>
    <dataValidation type="decimal" operator="notEqual" allowBlank="1" showErrorMessage="1" errorTitle="Oops!" error="Please enter a number." sqref="I142">
      <formula1>-999999999999</formula1>
    </dataValidation>
    <dataValidation type="decimal" operator="notEqual" allowBlank="1" showErrorMessage="1" errorTitle="Oops!" error="Please enter a number." sqref="I145">
      <formula1>-999999999999</formula1>
    </dataValidation>
    <dataValidation type="decimal" operator="notEqual" allowBlank="1" showErrorMessage="1" errorTitle="Oops!" error="Please enter a number." sqref="I153">
      <formula1>-999999999999</formula1>
    </dataValidation>
    <dataValidation type="decimal" operator="notEqual" allowBlank="1" showErrorMessage="1" errorTitle="Oops!" error="Please enter a number." sqref="I154">
      <formula1>-999999999999</formula1>
    </dataValidation>
    <dataValidation type="decimal" operator="notEqual" allowBlank="1" showErrorMessage="1" errorTitle="Oops!" error="Please enter a number." sqref="I155">
      <formula1>-999999999999</formula1>
    </dataValidation>
    <dataValidation type="decimal" operator="notEqual" allowBlank="1" showErrorMessage="1" errorTitle="Oops!" error="Please enter a number." sqref="I158">
      <formula1>-999999999999</formula1>
    </dataValidation>
    <dataValidation type="decimal" operator="notEqual" allowBlank="1" showErrorMessage="1" errorTitle="Oops!" error="Please enter a number." sqref="I166">
      <formula1>-999999999999</formula1>
    </dataValidation>
    <dataValidation type="decimal" operator="notEqual" allowBlank="1" showErrorMessage="1" errorTitle="Oops!" error="Please enter a number." sqref="I167">
      <formula1>-999999999999</formula1>
    </dataValidation>
    <dataValidation type="decimal" operator="notEqual" allowBlank="1" showErrorMessage="1" errorTitle="Oops!" error="Please enter a number." sqref="I168">
      <formula1>-999999999999</formula1>
    </dataValidation>
    <dataValidation type="decimal" operator="notEqual" allowBlank="1" showErrorMessage="1" errorTitle="Oops!" error="Please enter a number." sqref="I171">
      <formula1>-999999999999</formula1>
    </dataValidation>
    <dataValidation type="decimal" operator="notEqual" allowBlank="1" showErrorMessage="1" errorTitle="Oops!" error="Please enter a number." sqref="I179">
      <formula1>-999999999999</formula1>
    </dataValidation>
    <dataValidation type="decimal" operator="notEqual" allowBlank="1" showErrorMessage="1" errorTitle="Oops!" error="Please enter a number." sqref="I180">
      <formula1>-999999999999</formula1>
    </dataValidation>
    <dataValidation type="decimal" operator="notEqual" allowBlank="1" showErrorMessage="1" errorTitle="Oops!" error="Please enter a number." sqref="I181">
      <formula1>-999999999999</formula1>
    </dataValidation>
    <dataValidation type="decimal" operator="notEqual" allowBlank="1" showErrorMessage="1" errorTitle="Oops!" error="Please enter a number." sqref="I184">
      <formula1>-999999999999</formula1>
    </dataValidation>
    <dataValidation type="decimal" operator="notEqual" allowBlank="1" showErrorMessage="1" errorTitle="Oops!" error="Please enter a number." sqref="I189">
      <formula1>-999999999999</formula1>
    </dataValidation>
  </dataValidations>
  <pageMargins left="0.75" right="0.75" top="1" bottom="1" header="0.5" footer="0.5"/>
  <pageSetup orientation="portrait"/>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H61"/>
  <sheetViews>
    <sheetView workbookViewId="0" topLeftCell="A1"/>
  </sheetViews>
  <sheetFormatPr defaultRowHeight="12.75"/>
  <sheetData>
    <row r="1" spans="1:2" ht="12.75">
      <c r="A1" t="s">
        <v>232</v>
      </c>
      <c r="B1">
        <f>IFERROR(INDEX({"f-2020,f-2020"},MATCH(Welcome!C12,{"FY: 2020"},0)),"ERROR")</f>
      </c>
    </row>
    <row r="2" spans="1:8" ht="12.75">
      <c r="A2" t="s">
        <v>233</v>
      </c>
      <c r="B2" t="s">
        <v>234</v>
      </c>
      <c r="C2" t="s">
        <v>235</v>
      </c>
      <c r="D2" t="s">
        <v>236</v>
      </c>
      <c r="E2" t="s">
        <v>237</v>
      </c>
      <c r="F2" t="s">
        <v>238</v>
      </c>
      <c r="G2" t="s">
        <v>239</v>
      </c>
      <c r="H2" t="s">
        <v>240</v>
      </c>
    </row>
    <row r="3" spans="1:8" ht="12.75">
      <c r="A3" t="s">
        <v>241</v>
      </c>
      <c r="B3" t="s">
        <v>73</v>
      </c>
      <c r="C3">
        <f>IF('Balance Sheet'!I33="","",IF(TEXT('Balance Sheet'!I33,"0")="yes",1,IF(TEXT('Balance Sheet'!I33,"0")="no",0,'Balance Sheet'!I33)))</f>
      </c>
      <c r="D3">
        <f>IF('Balance Sheet'!P33="Pass","Pass",IF('Balance Sheet'!P33="PassBecauseBlankAllowed","Pass",IF('Balance Sheet'!P33="PassBecauseNoConstraints","Pass","Fail")))</f>
      </c>
      <c r="E3" t="s">
        <v>242</v>
      </c>
      <c r="F3">
        <f>IF(FALSE,"Validation",IF('Balance Sheet'!I33="","Validation","Data"))</f>
      </c>
      <c r="G3">
        <f>'Balance Sheet'!S33</f>
      </c>
    </row>
    <row r="4" spans="1:8" ht="12.75">
      <c r="A4" t="s">
        <v>243</v>
      </c>
      <c r="B4" t="s">
        <v>71</v>
      </c>
      <c r="C4">
        <f>IF('Balance Sheet'!I41="","",('Balance Sheet'!I41/100))</f>
      </c>
      <c r="D4">
        <f>IF('Balance Sheet'!P41="Pass","Pass",IF('Balance Sheet'!P41="PassBecauseBlankAllowed","Pass",IF('Balance Sheet'!P41="PassBecauseNoConstraints","Pass","Fail")))</f>
      </c>
      <c r="E4" t="s">
        <v>242</v>
      </c>
      <c r="F4">
        <f>IF(FALSE,"Validation",IF('Balance Sheet'!I41="","Validation","Data"))</f>
      </c>
      <c r="G4">
        <f>'Balance Sheet'!S41</f>
      </c>
    </row>
    <row r="5" spans="1:8" ht="12.75">
      <c r="A5" t="s">
        <v>244</v>
      </c>
      <c r="B5" t="s">
        <v>67</v>
      </c>
      <c r="C5">
        <f>IF('Balance Sheet'!I50="","",'Balance Sheet'!I50)</f>
      </c>
      <c r="D5">
        <f>IF('Balance Sheet'!P50="Pass","Pass",IF('Balance Sheet'!P50="PassBecauseBlankAllowed","Pass",IF('Balance Sheet'!P50="PassBecauseNoConstraints","Pass","Fail")))</f>
      </c>
      <c r="E5" t="s">
        <v>245</v>
      </c>
      <c r="F5">
        <f>IF(FALSE,"Validation",IF('Balance Sheet'!I50="","Validation","Data"))</f>
      </c>
      <c r="G5">
        <f>'Balance Sheet'!S50</f>
      </c>
    </row>
    <row r="6" spans="1:8" ht="12.75">
      <c r="A6" t="s">
        <v>246</v>
      </c>
      <c r="B6" t="s">
        <v>65</v>
      </c>
      <c r="C6">
        <f>IF('Balance Sheet'!I51="","",'Balance Sheet'!I51)</f>
      </c>
      <c r="D6">
        <f>IF('Balance Sheet'!P51="Pass","Pass",IF('Balance Sheet'!P51="PassBecauseBlankAllowed","Pass",IF('Balance Sheet'!P51="PassBecauseNoConstraints","Pass","Fail")))</f>
      </c>
      <c r="E6" t="s">
        <v>245</v>
      </c>
      <c r="F6">
        <f>IF(FALSE,"Validation",IF('Balance Sheet'!I51="","Validation","Data"))</f>
      </c>
      <c r="G6">
        <f>'Balance Sheet'!S51</f>
      </c>
    </row>
    <row r="7" spans="1:8" ht="12.75">
      <c r="A7" t="s">
        <v>247</v>
      </c>
      <c r="B7" t="s">
        <v>63</v>
      </c>
      <c r="C7">
        <f>IF('Balance Sheet'!I59="","",'Balance Sheet'!I59)</f>
      </c>
      <c r="D7">
        <f>IF('Balance Sheet'!P59="Pass","Pass",IF('Balance Sheet'!P59="PassBecauseBlankAllowed","Pass",IF('Balance Sheet'!P59="PassBecauseNoConstraints","Pass","Fail")))</f>
      </c>
      <c r="E7" t="s">
        <v>245</v>
      </c>
      <c r="F7">
        <f>IF(FALSE,"Validation",IF('Balance Sheet'!I59="","Validation","Data"))</f>
      </c>
      <c r="G7">
        <f>'Balance Sheet'!S59</f>
      </c>
    </row>
    <row r="8" spans="1:8" ht="12.75">
      <c r="A8" t="s">
        <v>248</v>
      </c>
      <c r="B8" t="s">
        <v>62</v>
      </c>
      <c r="C8">
        <f>IF('Balance Sheet'!I60="","",'Balance Sheet'!I60)</f>
      </c>
      <c r="D8">
        <f>IF('Balance Sheet'!P60="Pass","Pass",IF('Balance Sheet'!P60="PassBecauseBlankAllowed","Pass",IF('Balance Sheet'!P60="PassBecauseNoConstraints","Pass","Fail")))</f>
      </c>
      <c r="E8" t="s">
        <v>245</v>
      </c>
      <c r="F8">
        <f>IF(FALSE,"Validation",IF('Balance Sheet'!I60="","Validation","Data"))</f>
      </c>
      <c r="G8">
        <f>'Balance Sheet'!S60</f>
      </c>
    </row>
    <row r="9" spans="1:8" ht="12.75">
      <c r="A9" t="s">
        <v>249</v>
      </c>
      <c r="B9" t="s">
        <v>61</v>
      </c>
      <c r="C9">
        <f>IF('Balance Sheet'!I61="","",'Balance Sheet'!I61)</f>
      </c>
      <c r="D9">
        <f>IF('Balance Sheet'!P61="Pass","Pass",IF('Balance Sheet'!P61="PassBecauseBlankAllowed","Pass",IF('Balance Sheet'!P61="PassBecauseNoConstraints","Pass","Fail")))</f>
      </c>
      <c r="E9" t="s">
        <v>245</v>
      </c>
      <c r="F9">
        <f>IF(FALSE,"Validation",IF('Balance Sheet'!I61="","Validation","Data"))</f>
      </c>
      <c r="G9">
        <f>'Balance Sheet'!S61</f>
      </c>
    </row>
    <row r="10" spans="1:8" ht="12.75">
      <c r="A10" t="s">
        <v>250</v>
      </c>
      <c r="B10" t="s">
        <v>60</v>
      </c>
      <c r="C10">
        <f>IF('Balance Sheet'!I62="","",'Balance Sheet'!I62)</f>
      </c>
      <c r="D10">
        <f>IF('Balance Sheet'!P62="Pass","Pass",IF('Balance Sheet'!P62="PassBecauseBlankAllowed","Pass",IF('Balance Sheet'!P62="PassBecauseNoConstraints","Pass","Fail")))</f>
      </c>
      <c r="E10" t="s">
        <v>245</v>
      </c>
      <c r="F10">
        <f>IF(FALSE,"Validation",IF('Balance Sheet'!I62="","Validation","Data"))</f>
      </c>
      <c r="G10">
        <f>'Balance Sheet'!S62</f>
      </c>
    </row>
    <row r="11" spans="1:8" ht="12.75">
      <c r="B11" t="s">
        <v>29</v>
      </c>
      <c r="C11">
        <f>IF('Balance Sheet'!I160="","",'Balance Sheet'!I160)</f>
      </c>
      <c r="D11">
        <f>IF('Balance Sheet'!P160="Pass","Pass",IF('Balance Sheet'!P160="PassBecauseBlankAllowed","Pass",IF('Balance Sheet'!P160="PassBecauseNoConstraints","Pass","Fail")))</f>
      </c>
      <c r="F11">
        <f>IF(TRUE,"Validation",IF('Balance Sheet'!I160="","Validation","Data"))</f>
      </c>
      <c r="G11">
        <f>'Balance Sheet'!S160</f>
      </c>
      <c r="H11" t="s">
        <v>251</v>
      </c>
    </row>
    <row r="12" spans="1:8" ht="12.75">
      <c r="B12" t="s">
        <v>27</v>
      </c>
      <c r="C12">
        <f>IF('Balance Sheet'!I161="","",'Balance Sheet'!I161)</f>
      </c>
      <c r="D12">
        <f>IF('Balance Sheet'!P161="Pass","Pass",IF('Balance Sheet'!P161="PassBecauseBlankAllowed","Pass",IF('Balance Sheet'!P161="PassBecauseNoConstraints","Pass","Fail")))</f>
      </c>
      <c r="F12">
        <f>IF(TRUE,"Validation",IF('Balance Sheet'!I161="","Validation","Data"))</f>
      </c>
      <c r="G12">
        <f>'Balance Sheet'!S161</f>
      </c>
      <c r="H12" t="s">
        <v>251</v>
      </c>
    </row>
    <row r="13" spans="1:8" ht="12.75">
      <c r="B13" t="s">
        <v>26</v>
      </c>
      <c r="C13">
        <f>IF('Balance Sheet'!I162="","",'Balance Sheet'!I162)</f>
      </c>
      <c r="D13">
        <f>IF('Balance Sheet'!P162="Pass","Pass",IF('Balance Sheet'!P162="PassBecauseBlankAllowed","Pass",IF('Balance Sheet'!P162="PassBecauseNoConstraints","Pass","Fail")))</f>
      </c>
      <c r="F13">
        <f>IF(TRUE,"Validation",IF('Balance Sheet'!I162="","Validation","Data"))</f>
      </c>
      <c r="G13">
        <f>'Balance Sheet'!S162</f>
      </c>
      <c r="H13" t="s">
        <v>251</v>
      </c>
    </row>
    <row r="14" spans="1:8" ht="12.75">
      <c r="A14" t="s">
        <v>252</v>
      </c>
      <c r="B14" t="s">
        <v>231</v>
      </c>
      <c r="C14">
        <f>IF(Operations!I25="","",(Operations!I25/100))</f>
      </c>
      <c r="D14">
        <f>IF(Operations!P25="Pass","Pass",IF(Operations!P25="PassBecauseBlankAllowed","Pass",IF(Operations!P25="PassBecauseNoConstraints","Pass","Fail")))</f>
      </c>
      <c r="E14" t="s">
        <v>242</v>
      </c>
      <c r="F14">
        <f>IF(FALSE,"Validation",IF(Operations!I25="","Validation","Data"))</f>
      </c>
      <c r="G14">
        <f>Operations!S25</f>
      </c>
    </row>
    <row r="15" spans="1:8" ht="12.75">
      <c r="A15" t="s">
        <v>253</v>
      </c>
      <c r="B15" t="s">
        <v>210</v>
      </c>
      <c r="C15">
        <f>IF(Operations!I30="","",(Operations!I30/100))</f>
      </c>
      <c r="D15">
        <f>IF(Operations!P30="Pass","Pass",IF(Operations!P30="PassBecauseBlankAllowed","Pass",IF(Operations!P30="PassBecauseNoConstraints","Pass","Fail")))</f>
      </c>
      <c r="E15" t="s">
        <v>242</v>
      </c>
      <c r="F15">
        <f>IF(FALSE,"Validation",IF(Operations!I30="","Validation","Data"))</f>
      </c>
      <c r="G15">
        <f>Operations!S30</f>
      </c>
    </row>
    <row r="16" spans="1:8" ht="12.75">
      <c r="A16" t="s">
        <v>254</v>
      </c>
      <c r="B16" t="s">
        <v>230</v>
      </c>
      <c r="C16">
        <f>IF(Operations!I33="","",Operations!I33)</f>
      </c>
      <c r="D16">
        <f>IF(Operations!P33="Pass","Pass",IF(Operations!P33="PassBecauseBlankAllowed","Pass",IF(Operations!P33="PassBecauseNoConstraints","Pass","Fail")))</f>
      </c>
      <c r="E16" t="s">
        <v>255</v>
      </c>
      <c r="F16">
        <f>IF(FALSE,"Validation",IF(Operations!I33="","Validation","Data"))</f>
      </c>
      <c r="G16">
        <f>Operations!S33</f>
      </c>
    </row>
    <row r="17" spans="1:8" ht="12.75">
      <c r="A17" t="s">
        <v>256</v>
      </c>
      <c r="B17" t="s">
        <v>229</v>
      </c>
      <c r="C17">
        <f>IF(Operations!I34="","",Operations!I34)</f>
      </c>
      <c r="D17">
        <f>IF(Operations!P34="Pass","Pass",IF(Operations!P34="PassBecauseBlankAllowed","Pass",IF(Operations!P34="PassBecauseNoConstraints","Pass","Fail")))</f>
      </c>
      <c r="E17" t="s">
        <v>255</v>
      </c>
      <c r="F17">
        <f>IF(FALSE,"Validation",IF(Operations!I34="","Validation","Data"))</f>
      </c>
      <c r="G17">
        <f>Operations!S34</f>
      </c>
    </row>
    <row r="18" spans="1:8" ht="12.75">
      <c r="A18" t="s">
        <v>257</v>
      </c>
      <c r="B18" t="s">
        <v>228</v>
      </c>
      <c r="C18">
        <f>IF(Operations!I39="","",(Operations!I39/100))</f>
      </c>
      <c r="D18">
        <f>IF(Operations!P39="Pass","Pass",IF(Operations!P39="PassBecauseBlankAllowed","Pass",IF(Operations!P39="PassBecauseNoConstraints","Pass","Fail")))</f>
      </c>
      <c r="E18" t="s">
        <v>242</v>
      </c>
      <c r="F18">
        <f>IF(FALSE,"Validation",IF(Operations!I39="","Validation","Data"))</f>
      </c>
      <c r="G18">
        <f>Operations!S39</f>
      </c>
    </row>
    <row r="19" spans="1:8" ht="12.75">
      <c r="A19" t="s">
        <v>258</v>
      </c>
      <c r="B19" t="s">
        <v>227</v>
      </c>
      <c r="C19">
        <f>IF(Operations!I42="","",Operations!I42)</f>
      </c>
      <c r="D19">
        <f>IF(Operations!P42="Pass","Pass",IF(Operations!P42="PassBecauseBlankAllowed","Pass",IF(Operations!P42="PassBecauseNoConstraints","Pass","Fail")))</f>
      </c>
      <c r="E19" t="s">
        <v>255</v>
      </c>
      <c r="F19">
        <f>IF(FALSE,"Validation",IF(Operations!I42="","Validation","Data"))</f>
      </c>
      <c r="G19">
        <f>Operations!S42</f>
      </c>
    </row>
    <row r="20" spans="1:8" ht="12.75">
      <c r="A20" t="s">
        <v>259</v>
      </c>
      <c r="B20" t="s">
        <v>224</v>
      </c>
      <c r="C20">
        <f>IF(Operations!I57="","",IF(TEXT(Operations!I57,"0")="yes",1,IF(TEXT(Operations!I57,"0")="no",0,Operations!I57)))</f>
      </c>
      <c r="D20">
        <f>IF(Operations!P57="Pass","Pass",IF(Operations!P57="PassBecauseBlankAllowed","Pass",IF(Operations!P57="PassBecauseNoConstraints","Pass","Fail")))</f>
      </c>
      <c r="E20" t="s">
        <v>242</v>
      </c>
      <c r="F20">
        <f>IF(FALSE,"Validation",IF(Operations!I57="","Validation","Data"))</f>
      </c>
      <c r="G20">
        <f>Operations!S57</f>
      </c>
    </row>
    <row r="21" spans="1:8" ht="12.75">
      <c r="A21" t="s">
        <v>260</v>
      </c>
      <c r="B21" t="s">
        <v>223</v>
      </c>
      <c r="C21">
        <f>IF(Operations!I58="","",IF(TEXT(Operations!I58,"0")="yes",1,IF(TEXT(Operations!I58,"0")="no",0,Operations!I58)))</f>
      </c>
      <c r="D21">
        <f>IF(Operations!P58="Pass","Pass",IF(Operations!P58="PassBecauseBlankAllowed","Pass",IF(Operations!P58="PassBecauseNoConstraints","Pass","Fail")))</f>
      </c>
      <c r="E21" t="s">
        <v>242</v>
      </c>
      <c r="F21">
        <f>IF(FALSE,"Validation",IF(Operations!I58="","Validation","Data"))</f>
      </c>
      <c r="G21">
        <f>Operations!S58</f>
      </c>
    </row>
    <row r="22" spans="1:8" ht="12.75">
      <c r="A22" t="s">
        <v>261</v>
      </c>
      <c r="B22" t="s">
        <v>222</v>
      </c>
      <c r="C22">
        <f>IF(Operations!I59="","",IF(TEXT(Operations!I59,"0")="yes",1,IF(TEXT(Operations!I59,"0")="no",0,Operations!I59)))</f>
      </c>
      <c r="D22">
        <f>IF(Operations!P59="Pass","Pass",IF(Operations!P59="PassBecauseBlankAllowed","Pass",IF(Operations!P59="PassBecauseNoConstraints","Pass","Fail")))</f>
      </c>
      <c r="E22" t="s">
        <v>242</v>
      </c>
      <c r="F22">
        <f>IF(FALSE,"Validation",IF(Operations!I59="","Validation","Data"))</f>
      </c>
      <c r="G22">
        <f>Operations!S59</f>
      </c>
    </row>
    <row r="23" spans="1:8" ht="12.75">
      <c r="A23" t="s">
        <v>262</v>
      </c>
      <c r="B23" t="s">
        <v>221</v>
      </c>
      <c r="C23">
        <f>IF(Operations!I60="","",IF(TEXT(Operations!I60,"0")="yes",1,IF(TEXT(Operations!I60,"0")="no",0,Operations!I60)))</f>
      </c>
      <c r="D23">
        <f>IF(Operations!P60="Pass","Pass",IF(Operations!P60="PassBecauseBlankAllowed","Pass",IF(Operations!P60="PassBecauseNoConstraints","Pass","Fail")))</f>
      </c>
      <c r="E23" t="s">
        <v>242</v>
      </c>
      <c r="F23">
        <f>IF(FALSE,"Validation",IF(Operations!I60="","Validation","Data"))</f>
      </c>
      <c r="G23">
        <f>Operations!S60</f>
      </c>
    </row>
    <row r="24" spans="1:8" ht="12.75">
      <c r="A24" t="s">
        <v>263</v>
      </c>
      <c r="B24" t="s">
        <v>220</v>
      </c>
      <c r="C24">
        <f>IF(Operations!I61="","",IF(TEXT(Operations!I61,"0")="yes",1,IF(TEXT(Operations!I61,"0")="no",0,Operations!I61)))</f>
      </c>
      <c r="D24">
        <f>IF(Operations!P61="Pass","Pass",IF(Operations!P61="PassBecauseBlankAllowed","Pass",IF(Operations!P61="PassBecauseNoConstraints","Pass","Fail")))</f>
      </c>
      <c r="E24" t="s">
        <v>242</v>
      </c>
      <c r="F24">
        <f>IF(FALSE,"Validation",IF(Operations!I61="","Validation","Data"))</f>
      </c>
      <c r="G24">
        <f>Operations!S61</f>
      </c>
    </row>
    <row r="25" spans="1:8" ht="12.75">
      <c r="A25" t="s">
        <v>264</v>
      </c>
      <c r="B25" t="s">
        <v>219</v>
      </c>
      <c r="C25">
        <f>IF(Operations!I62="","",IF(TEXT(Operations!I62,"0")="yes",1,IF(TEXT(Operations!I62,"0")="no",0,Operations!I62)))</f>
      </c>
      <c r="D25">
        <f>IF(Operations!P62="Pass","Pass",IF(Operations!P62="PassBecauseBlankAllowed","Pass",IF(Operations!P62="PassBecauseNoConstraints","Pass","Fail")))</f>
      </c>
      <c r="E25" t="s">
        <v>242</v>
      </c>
      <c r="F25">
        <f>IF(FALSE,"Validation",IF(Operations!I62="","Validation","Data"))</f>
      </c>
      <c r="G25">
        <f>Operations!S62</f>
      </c>
    </row>
    <row r="26" spans="1:8" ht="12.75">
      <c r="A26" t="s">
        <v>265</v>
      </c>
      <c r="B26" t="s">
        <v>218</v>
      </c>
      <c r="C26">
        <f>IF(Operations!I63="","",IF(TEXT(Operations!I63,"0")="yes",1,IF(TEXT(Operations!I63,"0")="no",0,Operations!I63)))</f>
      </c>
      <c r="D26">
        <f>IF(Operations!P63="Pass","Pass",IF(Operations!P63="PassBecauseBlankAllowed","Pass",IF(Operations!P63="PassBecauseNoConstraints","Pass","Fail")))</f>
      </c>
      <c r="E26" t="s">
        <v>242</v>
      </c>
      <c r="F26">
        <f>IF(FALSE,"Validation",IF(Operations!I63="","Validation","Data"))</f>
      </c>
      <c r="G26">
        <f>Operations!S63</f>
      </c>
    </row>
    <row r="27" spans="1:8" ht="12.75">
      <c r="A27" t="s">
        <v>266</v>
      </c>
      <c r="B27" t="s">
        <v>217</v>
      </c>
      <c r="C27">
        <f>IF(Operations!I64="","",IF(TEXT(Operations!I64,"0")="yes",1,IF(TEXT(Operations!I64,"0")="no",0,Operations!I64)))</f>
      </c>
      <c r="D27">
        <f>IF(Operations!P64="Pass","Pass",IF(Operations!P64="PassBecauseBlankAllowed","Pass",IF(Operations!P64="PassBecauseNoConstraints","Pass","Fail")))</f>
      </c>
      <c r="E27" t="s">
        <v>242</v>
      </c>
      <c r="F27">
        <f>IF(FALSE,"Validation",IF(Operations!I64="","Validation","Data"))</f>
      </c>
      <c r="G27">
        <f>Operations!S64</f>
      </c>
    </row>
    <row r="28" spans="1:8" ht="12.75">
      <c r="A28" t="s">
        <v>267</v>
      </c>
      <c r="B28" t="s">
        <v>214</v>
      </c>
      <c r="C28">
        <f>IF(Operations!I81="","",Operations!I81)</f>
      </c>
      <c r="D28">
        <f>IF(Operations!P81="Pass","Pass",IF(Operations!P81="PassBecauseBlankAllowed","Pass",IF(Operations!P81="PassBecauseNoConstraints","Pass","Fail")))</f>
      </c>
      <c r="E28" t="s">
        <v>255</v>
      </c>
      <c r="F28">
        <f>IF(FALSE,"Validation",IF(Operations!I81="","Validation","Data"))</f>
      </c>
      <c r="G28">
        <f>Operations!S81</f>
      </c>
    </row>
    <row r="29" spans="1:8" ht="12.75">
      <c r="A29" t="s">
        <v>268</v>
      </c>
      <c r="B29" t="s">
        <v>213</v>
      </c>
      <c r="C29">
        <f>IF(Operations!I82="","",Operations!I82)</f>
      </c>
      <c r="D29">
        <f>IF(Operations!P82="Pass","Pass",IF(Operations!P82="PassBecauseBlankAllowed","Pass",IF(Operations!P82="PassBecauseNoConstraints","Pass","Fail")))</f>
      </c>
      <c r="E29" t="s">
        <v>255</v>
      </c>
      <c r="F29">
        <f>IF(FALSE,"Validation",IF(Operations!I82="","Validation","Data"))</f>
      </c>
      <c r="G29">
        <f>Operations!S82</f>
      </c>
    </row>
    <row r="30" spans="1:8" ht="12.75">
      <c r="A30" t="s">
        <v>269</v>
      </c>
      <c r="B30" t="s">
        <v>212</v>
      </c>
      <c r="C30">
        <f>IF(Operations!I83="","",Operations!I83)</f>
      </c>
      <c r="D30">
        <f>IF(Operations!P83="Pass","Pass",IF(Operations!P83="PassBecauseBlankAllowed","Pass",IF(Operations!P83="PassBecauseNoConstraints","Pass","Fail")))</f>
      </c>
      <c r="E30" t="s">
        <v>255</v>
      </c>
      <c r="F30">
        <f>IF(FALSE,"Validation",IF(Operations!I83="","Validation","Data"))</f>
      </c>
      <c r="G30">
        <f>Operations!S83</f>
      </c>
    </row>
    <row r="31" spans="1:8" ht="12.75">
      <c r="A31" t="s">
        <v>270</v>
      </c>
      <c r="B31" t="s">
        <v>211</v>
      </c>
      <c r="C31">
        <f>IF(Operations!I84="","",Operations!I84)</f>
      </c>
      <c r="D31">
        <f>IF(Operations!P84="Pass","Pass",IF(Operations!P84="PassBecauseBlankAllowed","Pass",IF(Operations!P84="PassBecauseNoConstraints","Pass","Fail")))</f>
      </c>
      <c r="E31" t="s">
        <v>255</v>
      </c>
      <c r="F31">
        <f>IF(FALSE,"Validation",IF(Operations!I84="","Validation","Data"))</f>
      </c>
      <c r="G31">
        <f>Operations!S84</f>
      </c>
    </row>
    <row r="32" spans="1:8" ht="12.75">
      <c r="A32" t="s">
        <v>271</v>
      </c>
      <c r="B32" t="s">
        <v>209</v>
      </c>
      <c r="C32">
        <f>IF(Operations!I85="","",Operations!I85)</f>
      </c>
      <c r="D32">
        <f>IF(Operations!P85="Pass","Pass",IF(Operations!P85="PassBecauseBlankAllowed","Pass",IF(Operations!P85="PassBecauseNoConstraints","Pass","Fail")))</f>
      </c>
      <c r="E32" t="s">
        <v>255</v>
      </c>
      <c r="F32">
        <f>IF(FALSE,"Validation",IF(Operations!I85="","Validation","Data"))</f>
      </c>
      <c r="G32">
        <f>Operations!S85</f>
      </c>
    </row>
    <row r="33" spans="1:8" ht="12.75">
      <c r="A33" t="s">
        <v>272</v>
      </c>
      <c r="B33" t="s">
        <v>208</v>
      </c>
      <c r="C33">
        <f>IF(Operations!I86="","",Operations!I86)</f>
      </c>
      <c r="D33">
        <f>IF(Operations!P86="Pass","Pass",IF(Operations!P86="PassBecauseBlankAllowed","Pass",IF(Operations!P86="PassBecauseNoConstraints","Pass","Fail")))</f>
      </c>
      <c r="E33" t="s">
        <v>255</v>
      </c>
      <c r="F33">
        <f>IF(FALSE,"Validation",IF(Operations!I86="","Validation","Data"))</f>
      </c>
      <c r="G33">
        <f>Operations!S86</f>
      </c>
    </row>
    <row r="34" spans="1:8" ht="12.75">
      <c r="A34" t="s">
        <v>273</v>
      </c>
      <c r="B34" t="s">
        <v>207</v>
      </c>
      <c r="C34">
        <f>IF(Operations!I87="","",Operations!I87)</f>
      </c>
      <c r="D34">
        <f>IF(Operations!P87="Pass","Pass",IF(Operations!P87="PassBecauseBlankAllowed","Pass",IF(Operations!P87="PassBecauseNoConstraints","Pass","Fail")))</f>
      </c>
      <c r="E34" t="s">
        <v>255</v>
      </c>
      <c r="F34">
        <f>IF(FALSE,"Validation",IF(Operations!I87="","Validation","Data"))</f>
      </c>
      <c r="G34">
        <f>Operations!S87</f>
      </c>
    </row>
    <row r="35" spans="1:8" ht="12.75">
      <c r="A35" t="s">
        <v>274</v>
      </c>
      <c r="B35" t="s">
        <v>206</v>
      </c>
      <c r="C35">
        <f>IF(Operations!I88="","",Operations!I88)</f>
      </c>
      <c r="D35">
        <f>IF(Operations!P88="Pass","Pass",IF(Operations!P88="PassBecauseBlankAllowed","Pass",IF(Operations!P88="PassBecauseNoConstraints","Pass","Fail")))</f>
      </c>
      <c r="E35" t="s">
        <v>255</v>
      </c>
      <c r="F35">
        <f>IF(FALSE,"Validation",IF(Operations!I88="","Validation","Data"))</f>
      </c>
      <c r="G35">
        <f>Operations!S88</f>
      </c>
    </row>
    <row r="36" spans="1:8" ht="12.75">
      <c r="A36" t="s">
        <v>275</v>
      </c>
      <c r="B36" t="s">
        <v>205</v>
      </c>
      <c r="C36">
        <f>IF(Operations!I89="","",Operations!I89)</f>
      </c>
      <c r="D36">
        <f>IF(Operations!P89="Pass","Pass",IF(Operations!P89="PassBecauseBlankAllowed","Pass",IF(Operations!P89="PassBecauseNoConstraints","Pass","Fail")))</f>
      </c>
      <c r="E36" t="s">
        <v>255</v>
      </c>
      <c r="F36">
        <f>IF(FALSE,"Validation",IF(Operations!I89="","Validation","Data"))</f>
      </c>
      <c r="G36">
        <f>Operations!S89</f>
      </c>
    </row>
    <row r="37" spans="1:8" ht="12.75">
      <c r="B37" t="s">
        <v>204</v>
      </c>
      <c r="C37">
        <f>IF(Operations!I92="","",Operations!I92)</f>
      </c>
      <c r="D37">
        <f>IF(Operations!P92="Pass","Pass",IF(Operations!P92="PassBecauseBlankAllowed","Pass",IF(Operations!P92="PassBecauseNoConstraints","Pass","Fail")))</f>
      </c>
      <c r="F37">
        <f>IF(TRUE,"Validation",IF(Operations!I92="","Validation","Data"))</f>
      </c>
      <c r="G37">
        <f>Operations!S92</f>
      </c>
      <c r="H37" t="s">
        <v>276</v>
      </c>
    </row>
    <row r="38" spans="1:8" ht="12.75">
      <c r="A38" t="s">
        <v>277</v>
      </c>
      <c r="B38" t="s">
        <v>201</v>
      </c>
      <c r="C38">
        <f>IF(Operations!I109="","",Operations!I109)</f>
      </c>
      <c r="D38">
        <f>IF(Operations!P109="Pass","Pass",IF(Operations!P109="PassBecauseBlankAllowed","Pass",IF(Operations!P109="PassBecauseNoConstraints","Pass","Fail")))</f>
      </c>
      <c r="E38" t="s">
        <v>245</v>
      </c>
      <c r="F38">
        <f>IF(FALSE,"Validation",IF(Operations!I109="","Validation","Data"))</f>
      </c>
      <c r="G38">
        <f>Operations!S109</f>
      </c>
    </row>
    <row r="39" spans="1:8" ht="12.75">
      <c r="A39" t="s">
        <v>278</v>
      </c>
      <c r="B39" t="s">
        <v>200</v>
      </c>
      <c r="C39">
        <f>IF(Operations!I110="","",Operations!I110)</f>
      </c>
      <c r="D39">
        <f>IF(Operations!P110="Pass","Pass",IF(Operations!P110="PassBecauseBlankAllowed","Pass",IF(Operations!P110="PassBecauseNoConstraints","Pass","Fail")))</f>
      </c>
      <c r="E39" t="s">
        <v>245</v>
      </c>
      <c r="F39">
        <f>IF(FALSE,"Validation",IF(Operations!I110="","Validation","Data"))</f>
      </c>
      <c r="G39">
        <f>Operations!S110</f>
      </c>
    </row>
    <row r="40" spans="1:8" ht="12.75">
      <c r="A40" t="s">
        <v>279</v>
      </c>
      <c r="B40" t="s">
        <v>199</v>
      </c>
      <c r="C40">
        <f>IF(Operations!I111="","",Operations!I111)</f>
      </c>
      <c r="D40">
        <f>IF(Operations!P111="Pass","Pass",IF(Operations!P111="PassBecauseBlankAllowed","Pass",IF(Operations!P111="PassBecauseNoConstraints","Pass","Fail")))</f>
      </c>
      <c r="E40" t="s">
        <v>245</v>
      </c>
      <c r="F40">
        <f>IF(FALSE,"Validation",IF(Operations!I111="","Validation","Data"))</f>
      </c>
      <c r="G40">
        <f>Operations!S111</f>
      </c>
    </row>
    <row r="41" spans="1:8" ht="12.75">
      <c r="A41" t="s">
        <v>280</v>
      </c>
      <c r="B41" t="s">
        <v>198</v>
      </c>
      <c r="C41">
        <f>IF(Operations!I112="","",Operations!I112)</f>
      </c>
      <c r="D41">
        <f>IF(Operations!P112="Pass","Pass",IF(Operations!P112="PassBecauseBlankAllowed","Pass",IF(Operations!P112="PassBecauseNoConstraints","Pass","Fail")))</f>
      </c>
      <c r="E41" t="s">
        <v>245</v>
      </c>
      <c r="F41">
        <f>IF(FALSE,"Validation",IF(Operations!I112="","Validation","Data"))</f>
      </c>
      <c r="G41">
        <f>Operations!S112</f>
      </c>
    </row>
    <row r="42" spans="1:8" ht="12.75">
      <c r="A42" t="s">
        <v>281</v>
      </c>
      <c r="B42" t="s">
        <v>197</v>
      </c>
      <c r="C42">
        <f>IF(Operations!I113="","",Operations!I113)</f>
      </c>
      <c r="D42">
        <f>IF(Operations!P113="Pass","Pass",IF(Operations!P113="PassBecauseBlankAllowed","Pass",IF(Operations!P113="PassBecauseNoConstraints","Pass","Fail")))</f>
      </c>
      <c r="E42" t="s">
        <v>245</v>
      </c>
      <c r="F42">
        <f>IF(FALSE,"Validation",IF(Operations!I113="","Validation","Data"))</f>
      </c>
      <c r="G42">
        <f>Operations!S113</f>
      </c>
    </row>
    <row r="43" spans="1:8" ht="12.75">
      <c r="A43" t="s">
        <v>282</v>
      </c>
      <c r="B43" t="s">
        <v>196</v>
      </c>
      <c r="C43">
        <f>IF(Operations!I114="","",Operations!I114)</f>
      </c>
      <c r="D43">
        <f>IF(Operations!P114="Pass","Pass",IF(Operations!P114="PassBecauseBlankAllowed","Pass",IF(Operations!P114="PassBecauseNoConstraints","Pass","Fail")))</f>
      </c>
      <c r="E43" t="s">
        <v>245</v>
      </c>
      <c r="F43">
        <f>IF(FALSE,"Validation",IF(Operations!I114="","Validation","Data"))</f>
      </c>
      <c r="G43">
        <f>Operations!S114</f>
      </c>
    </row>
    <row r="44" spans="1:8" ht="12.75">
      <c r="A44" t="s">
        <v>283</v>
      </c>
      <c r="B44" t="s">
        <v>192</v>
      </c>
      <c r="C44">
        <f>IF(Operations!I132="","",Operations!I132)</f>
      </c>
      <c r="D44">
        <f>IF(Operations!P132="Pass","Pass",IF(Operations!P132="PassBecauseBlankAllowed","Pass",IF(Operations!P132="PassBecauseNoConstraints","Pass","Fail")))</f>
      </c>
      <c r="E44" t="s">
        <v>245</v>
      </c>
      <c r="F44">
        <f>IF(FALSE,"Validation",IF(Operations!I132="","Validation","Data"))</f>
      </c>
      <c r="G44">
        <f>Operations!S132</f>
      </c>
    </row>
    <row r="45" spans="1:8" ht="12.75">
      <c r="A45" t="s">
        <v>284</v>
      </c>
      <c r="B45" t="s">
        <v>189</v>
      </c>
      <c r="C45">
        <f>IF(Operations!I140="","",Operations!I140)</f>
      </c>
      <c r="D45">
        <f>IF(Operations!P140="Pass","Pass",IF(Operations!P140="PassBecauseBlankAllowed","Pass",IF(Operations!P140="PassBecauseNoConstraints","Pass","Fail")))</f>
      </c>
      <c r="E45" t="s">
        <v>245</v>
      </c>
      <c r="F45">
        <f>IF(FALSE,"Validation",IF(Operations!I140="","Validation","Data"))</f>
      </c>
      <c r="G45">
        <f>Operations!S140</f>
      </c>
    </row>
    <row r="46" spans="1:8" ht="12.75">
      <c r="A46" t="s">
        <v>285</v>
      </c>
      <c r="B46" t="s">
        <v>188</v>
      </c>
      <c r="C46">
        <f>IF(Operations!I141="","",Operations!I141)</f>
      </c>
      <c r="D46">
        <f>IF(Operations!P141="Pass","Pass",IF(Operations!P141="PassBecauseBlankAllowed","Pass",IF(Operations!P141="PassBecauseNoConstraints","Pass","Fail")))</f>
      </c>
      <c r="E46" t="s">
        <v>245</v>
      </c>
      <c r="F46">
        <f>IF(FALSE,"Validation",IF(Operations!I141="","Validation","Data"))</f>
      </c>
      <c r="G46">
        <f>Operations!S141</f>
      </c>
    </row>
    <row r="47" spans="1:8" ht="12.75">
      <c r="A47" t="s">
        <v>286</v>
      </c>
      <c r="B47" t="s">
        <v>187</v>
      </c>
      <c r="C47">
        <f>IF(Operations!I142="","",Operations!I142)</f>
      </c>
      <c r="D47">
        <f>IF(Operations!P142="Pass","Pass",IF(Operations!P142="PassBecauseBlankAllowed","Pass",IF(Operations!P142="PassBecauseNoConstraints","Pass","Fail")))</f>
      </c>
      <c r="E47" t="s">
        <v>245</v>
      </c>
      <c r="F47">
        <f>IF(FALSE,"Validation",IF(Operations!I142="","Validation","Data"))</f>
      </c>
      <c r="G47">
        <f>Operations!S142</f>
      </c>
    </row>
    <row r="48" spans="1:8" ht="12.75">
      <c r="B48" t="s">
        <v>186</v>
      </c>
      <c r="C48">
        <f>IF(Operations!I145="","",Operations!I145)</f>
      </c>
      <c r="D48">
        <f>IF(Operations!P145="Pass","Pass",IF(Operations!P145="PassBecauseBlankAllowed","Pass",IF(Operations!P145="PassBecauseNoConstraints","Pass","Fail")))</f>
      </c>
      <c r="F48">
        <f>IF(TRUE,"Validation",IF(Operations!I145="","Validation","Data"))</f>
      </c>
      <c r="G48">
        <f>Operations!S145</f>
      </c>
      <c r="H48" t="s">
        <v>287</v>
      </c>
    </row>
    <row r="49" spans="1:8" ht="12.75">
      <c r="A49" t="s">
        <v>288</v>
      </c>
      <c r="B49" t="s">
        <v>184</v>
      </c>
      <c r="C49">
        <f>IF(Operations!I153="","",Operations!I153)</f>
      </c>
      <c r="D49">
        <f>IF(Operations!P153="Pass","Pass",IF(Operations!P153="PassBecauseBlankAllowed","Pass",IF(Operations!P153="PassBecauseNoConstraints","Pass","Fail")))</f>
      </c>
      <c r="E49" t="s">
        <v>245</v>
      </c>
      <c r="F49">
        <f>IF(FALSE,"Validation",IF(Operations!I153="","Validation","Data"))</f>
      </c>
      <c r="G49">
        <f>Operations!S153</f>
      </c>
    </row>
    <row r="50" spans="1:8" ht="12.75">
      <c r="A50" t="s">
        <v>289</v>
      </c>
      <c r="B50" t="s">
        <v>183</v>
      </c>
      <c r="C50">
        <f>IF(Operations!I154="","",Operations!I154)</f>
      </c>
      <c r="D50">
        <f>IF(Operations!P154="Pass","Pass",IF(Operations!P154="PassBecauseBlankAllowed","Pass",IF(Operations!P154="PassBecauseNoConstraints","Pass","Fail")))</f>
      </c>
      <c r="E50" t="s">
        <v>245</v>
      </c>
      <c r="F50">
        <f>IF(FALSE,"Validation",IF(Operations!I154="","Validation","Data"))</f>
      </c>
      <c r="G50">
        <f>Operations!S154</f>
      </c>
    </row>
    <row r="51" spans="1:8" ht="12.75">
      <c r="A51" t="s">
        <v>290</v>
      </c>
      <c r="B51" t="s">
        <v>182</v>
      </c>
      <c r="C51">
        <f>IF(Operations!I155="","",Operations!I155)</f>
      </c>
      <c r="D51">
        <f>IF(Operations!P155="Pass","Pass",IF(Operations!P155="PassBecauseBlankAllowed","Pass",IF(Operations!P155="PassBecauseNoConstraints","Pass","Fail")))</f>
      </c>
      <c r="E51" t="s">
        <v>245</v>
      </c>
      <c r="F51">
        <f>IF(FALSE,"Validation",IF(Operations!I155="","Validation","Data"))</f>
      </c>
      <c r="G51">
        <f>Operations!S155</f>
      </c>
    </row>
    <row r="52" spans="1:8" ht="12.75">
      <c r="B52" t="s">
        <v>181</v>
      </c>
      <c r="C52">
        <f>IF(Operations!I158="","",Operations!I158)</f>
      </c>
      <c r="D52">
        <f>IF(Operations!P158="Pass","Pass",IF(Operations!P158="PassBecauseBlankAllowed","Pass",IF(Operations!P158="PassBecauseNoConstraints","Pass","Fail")))</f>
      </c>
      <c r="F52">
        <f>IF(TRUE,"Validation",IF(Operations!I158="","Validation","Data"))</f>
      </c>
      <c r="G52">
        <f>Operations!S158</f>
      </c>
      <c r="H52" t="s">
        <v>291</v>
      </c>
    </row>
    <row r="53" spans="1:8" ht="12.75">
      <c r="A53" t="s">
        <v>292</v>
      </c>
      <c r="B53" t="s">
        <v>179</v>
      </c>
      <c r="C53">
        <f>IF(Operations!I166="","",Operations!I166)</f>
      </c>
      <c r="D53">
        <f>IF(Operations!P166="Pass","Pass",IF(Operations!P166="PassBecauseBlankAllowed","Pass",IF(Operations!P166="PassBecauseNoConstraints","Pass","Fail")))</f>
      </c>
      <c r="E53" t="s">
        <v>245</v>
      </c>
      <c r="F53">
        <f>IF(FALSE,"Validation",IF(Operations!I166="","Validation","Data"))</f>
      </c>
      <c r="G53">
        <f>Operations!S166</f>
      </c>
    </row>
    <row r="54" spans="1:8" ht="12.75">
      <c r="A54" t="s">
        <v>293</v>
      </c>
      <c r="B54" t="s">
        <v>159</v>
      </c>
      <c r="C54">
        <f>IF(Operations!I167="","",Operations!I167)</f>
      </c>
      <c r="D54">
        <f>IF(Operations!P167="Pass","Pass",IF(Operations!P167="PassBecauseBlankAllowed","Pass",IF(Operations!P167="PassBecauseNoConstraints","Pass","Fail")))</f>
      </c>
      <c r="E54" t="s">
        <v>245</v>
      </c>
      <c r="F54">
        <f>IF(FALSE,"Validation",IF(Operations!I167="","Validation","Data"))</f>
      </c>
      <c r="G54">
        <f>Operations!S167</f>
      </c>
    </row>
    <row r="55" spans="1:8" ht="12.75">
      <c r="A55" t="s">
        <v>294</v>
      </c>
      <c r="B55" t="s">
        <v>178</v>
      </c>
      <c r="C55">
        <f>IF(Operations!I168="","",Operations!I168)</f>
      </c>
      <c r="D55">
        <f>IF(Operations!P168="Pass","Pass",IF(Operations!P168="PassBecauseBlankAllowed","Pass",IF(Operations!P168="PassBecauseNoConstraints","Pass","Fail")))</f>
      </c>
      <c r="E55" t="s">
        <v>245</v>
      </c>
      <c r="F55">
        <f>IF(FALSE,"Validation",IF(Operations!I168="","Validation","Data"))</f>
      </c>
      <c r="G55">
        <f>Operations!S168</f>
      </c>
    </row>
    <row r="56" spans="1:8" ht="12.75">
      <c r="B56" t="s">
        <v>177</v>
      </c>
      <c r="C56">
        <f>IF(Operations!I171="","",Operations!I171)</f>
      </c>
      <c r="D56">
        <f>IF(Operations!P171="Pass","Pass",IF(Operations!P171="PassBecauseBlankAllowed","Pass",IF(Operations!P171="PassBecauseNoConstraints","Pass","Fail")))</f>
      </c>
      <c r="F56">
        <f>IF(TRUE,"Validation",IF(Operations!I171="","Validation","Data"))</f>
      </c>
      <c r="G56">
        <f>Operations!S171</f>
      </c>
      <c r="H56" t="s">
        <v>295</v>
      </c>
    </row>
    <row r="57" spans="1:8" ht="12.75">
      <c r="A57" t="s">
        <v>296</v>
      </c>
      <c r="B57" t="s">
        <v>175</v>
      </c>
      <c r="C57">
        <f>IF(Operations!I179="","",Operations!I179)</f>
      </c>
      <c r="D57">
        <f>IF(Operations!P179="Pass","Pass",IF(Operations!P179="PassBecauseBlankAllowed","Pass",IF(Operations!P179="PassBecauseNoConstraints","Pass","Fail")))</f>
      </c>
      <c r="E57" t="s">
        <v>245</v>
      </c>
      <c r="F57">
        <f>IF(FALSE,"Validation",IF(Operations!I179="","Validation","Data"))</f>
      </c>
      <c r="G57">
        <f>Operations!S179</f>
      </c>
    </row>
    <row r="58" spans="1:8" ht="12.75">
      <c r="A58" t="s">
        <v>297</v>
      </c>
      <c r="B58" t="s">
        <v>174</v>
      </c>
      <c r="C58">
        <f>IF(Operations!I180="","",Operations!I180)</f>
      </c>
      <c r="D58">
        <f>IF(Operations!P180="Pass","Pass",IF(Operations!P180="PassBecauseBlankAllowed","Pass",IF(Operations!P180="PassBecauseNoConstraints","Pass","Fail")))</f>
      </c>
      <c r="E58" t="s">
        <v>245</v>
      </c>
      <c r="F58">
        <f>IF(FALSE,"Validation",IF(Operations!I180="","Validation","Data"))</f>
      </c>
      <c r="G58">
        <f>Operations!S180</f>
      </c>
    </row>
    <row r="59" spans="1:8" ht="12.75">
      <c r="A59" t="s">
        <v>298</v>
      </c>
      <c r="B59" t="s">
        <v>173</v>
      </c>
      <c r="C59">
        <f>IF(Operations!I181="","",Operations!I181)</f>
      </c>
      <c r="D59">
        <f>IF(Operations!P181="Pass","Pass",IF(Operations!P181="PassBecauseBlankAllowed","Pass",IF(Operations!P181="PassBecauseNoConstraints","Pass","Fail")))</f>
      </c>
      <c r="E59" t="s">
        <v>245</v>
      </c>
      <c r="F59">
        <f>IF(FALSE,"Validation",IF(Operations!I181="","Validation","Data"))</f>
      </c>
      <c r="G59">
        <f>Operations!S181</f>
      </c>
    </row>
    <row r="60" spans="1:8" ht="12.75">
      <c r="B60" t="s">
        <v>172</v>
      </c>
      <c r="C60">
        <f>IF(Operations!I184="","",Operations!I184)</f>
      </c>
      <c r="D60">
        <f>IF(Operations!P184="Pass","Pass",IF(Operations!P184="PassBecauseBlankAllowed","Pass",IF(Operations!P184="PassBecauseNoConstraints","Pass","Fail")))</f>
      </c>
      <c r="F60">
        <f>IF(TRUE,"Validation",IF(Operations!I184="","Validation","Data"))</f>
      </c>
      <c r="G60">
        <f>Operations!S184</f>
      </c>
      <c r="H60" t="s">
        <v>299</v>
      </c>
    </row>
    <row r="61" spans="1:8" ht="12.75">
      <c r="B61" t="s">
        <v>171</v>
      </c>
      <c r="C61">
        <f>IF(Operations!I189="","",Operations!I189)</f>
      </c>
      <c r="D61">
        <f>IF(Operations!P189="Pass","Pass",IF(Operations!P189="PassBecauseBlankAllowed","Pass",IF(Operations!P189="PassBecauseNoConstraints","Pass","Fail")))</f>
      </c>
      <c r="F61">
        <f>IF(TRUE,"Validation",IF(Operations!I189="","Validation","Data"))</f>
      </c>
      <c r="G61">
        <f>Operations!S189</f>
      </c>
      <c r="H61" t="s">
        <v>300</v>
      </c>
    </row>
  </sheetData>
  <sheetProtection password="F7F9"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survey/hardi-annual/2020-v009</Template>
  <Manager/>
  <Company>CoMetrics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Profitability and Operating Performance Survey</dc:title>
  <dc:subject>Copyright (c) 2024 CoMetrics. All rights reserved.</dc:subject>
  <dc:creator>CoMetrics</dc:creator>
  <cp:keywords>https://www.cometrics.com/</cp:keywords>
  <dc:description>This file is for authorized users only.  All data is private and confidential to the submitter and is only viewable by the submitter's authorized parties.</dc:description>
  <cp:lastModifiedBy/>
  <cp:category/>
  <cp:contentType/>
  <cp:contentStatus/>
</cp:coreProperties>
</file>